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I:\OIP_UIPA\UIPA Log\"/>
    </mc:Choice>
  </mc:AlternateContent>
  <bookViews>
    <workbookView xWindow="0" yWindow="0" windowWidth="19200" windowHeight="1159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<sst xmlns="http://schemas.openxmlformats.org/spreadsheetml/2006/main" count="7355" uniqueCount="3480">
  <si>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</si>
  <si>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</si>
  <si>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</si>
  <si>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</si>
  <si>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</si>
  <si>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</si>
  <si>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</si>
  <si>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</si>
  <si>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</si>
  <si>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</si>
  <si>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</si>
  <si>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</si>
  <si>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</si>
  <si>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</si>
  <si>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</si>
  <si>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</si>
  <si>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</si>
  <si>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</si>
  <si>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</si>
  <si>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</si>
  <si>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</si>
  <si>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</si>
  <si>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</si>
  <si>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</si>
  <si>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</si>
  <si>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</si>
  <si>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</si>
  <si>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</si>
  <si>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</si>
  <si>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</si>
  <si>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</si>
  <si>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</si>
  <si>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</si>
  <si>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</si>
  <si>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</si>
  <si>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</si>
  <si>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</si>
  <si>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</si>
  <si>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</si>
  <si>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</si>
  <si>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</si>
  <si>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</si>
  <si>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</si>
  <si>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</si>
  <si>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</si>
  <si>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</si>
  <si>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</si>
  <si>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</si>
  <si>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</si>
  <si>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</si>
  <si>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</si>
  <si>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</si>
  <si>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</si>
  <si>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</si>
  <si>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</si>
  <si>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</si>
  <si>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</si>
  <si>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</si>
  <si>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</si>
  <si>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</si>
  <si>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</si>
  <si>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</si>
  <si>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</si>
  <si>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</si>
  <si>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</si>
  <si>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</si>
  <si>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</si>
  <si>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</si>
  <si>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</si>
  <si>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</si>
  <si>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</si>
  <si>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</si>
  <si>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</si>
  <si>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</si>
  <si>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</si>
  <si>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</si>
  <si>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</si>
  <si>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</si>
  <si>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</si>
  <si>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</si>
  <si>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</si>
  <si>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</si>
  <si>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</si>
  <si>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</si>
  <si>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</si>
  <si>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</si>
  <si>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</si>
  <si>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</si>
  <si>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</si>
  <si>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</si>
  <si>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</si>
  <si>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</si>
  <si>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</si>
  <si>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</si>
  <si>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</si>
  <si>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</si>
  <si>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</si>
  <si>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</si>
  <si>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</si>
  <si>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</si>
  <si>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</si>
  <si>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</si>
  <si>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</si>
  <si>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</si>
  <si>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</si>
  <si>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</si>
  <si>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</si>
  <si>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</si>
  <si>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</si>
  <si>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</si>
  <si>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</si>
  <si>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</si>
  <si>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</si>
  <si>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</si>
  <si>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</si>
  <si>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</si>
  <si>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</si>
  <si>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</si>
  <si>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</si>
  <si>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</si>
  <si>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</si>
  <si>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</si>
  <si>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</si>
  <si>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</si>
  <si>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</si>
  <si>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</si>
  <si>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</si>
  <si>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</si>
  <si>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</si>
  <si>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</si>
  <si>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</si>
  <si>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</si>
  <si>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</si>
  <si>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</si>
  <si>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</si>
  <si>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</si>
  <si>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</si>
  <si>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</si>
  <si>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</si>
  <si>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</si>
  <si>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</si>
  <si>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</si>
  <si>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</si>
  <si>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</si>
  <si>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</si>
  <si>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</si>
  <si>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</si>
  <si>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</si>
  <si>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</si>
  <si>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</si>
  <si>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</si>
  <si>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</si>
  <si>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</si>
  <si>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</si>
  <si>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</si>
  <si>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</si>
  <si>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</si>
  <si>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</si>
  <si>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</si>
  <si>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</si>
  <si>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</si>
  <si>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</si>
  <si>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</si>
  <si>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</si>
  <si>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</si>
  <si>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</si>
  <si>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</si>
  <si>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</si>
  <si>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</si>
  <si>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</si>
  <si>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</si>
  <si>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</si>
  <si>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</si>
  <si>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</si>
  <si>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</si>
  <si>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</si>
  <si>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</si>
  <si>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</si>
  <si>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</si>
  <si>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</si>
  <si>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</si>
  <si>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</si>
  <si>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</si>
  <si>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</si>
  <si>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</si>
  <si>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</si>
  <si>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</si>
  <si>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</si>
  <si>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</si>
  <si>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</si>
  <si>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</si>
  <si>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</si>
  <si>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</si>
  <si>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</si>
  <si>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</si>
  <si>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</si>
  <si>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</si>
  <si>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</si>
  <si>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</si>
  <si>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</si>
  <si>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</si>
  <si>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</si>
  <si>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</si>
  <si>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</si>
  <si>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</si>
  <si>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</si>
  <si>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</si>
  <si>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</si>
  <si>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</si>
  <si>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</si>
  <si>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</si>
  <si>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</si>
  <si>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</si>
  <si>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</si>
  <si>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</si>
  <si>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</si>
  <si>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</si>
  <si>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</si>
  <si>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</si>
  <si>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</si>
  <si>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</si>
  <si>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</si>
  <si>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</si>
  <si>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</si>
  <si>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</si>
  <si>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</si>
  <si>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</si>
  <si>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</si>
  <si>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</si>
  <si>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</si>
  <si>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</si>
  <si>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</si>
  <si>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</si>
  <si>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</si>
  <si>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</si>
  <si>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</si>
  <si>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</si>
  <si>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</si>
  <si>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</si>
  <si>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</si>
  <si>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</si>
  <si>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</si>
  <si>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</si>
  <si>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</si>
  <si>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</si>
  <si>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</si>
  <si>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</si>
  <si>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</si>
  <si>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</si>
  <si>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</si>
  <si>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</si>
  <si>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</si>
  <si>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</si>
  <si>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</si>
  <si>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</si>
  <si>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</si>
  <si>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</si>
  <si>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</si>
  <si>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</si>
  <si>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</si>
  <si>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</si>
  <si>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</si>
  <si>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</si>
  <si>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</si>
  <si>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</si>
  <si>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</si>
  <si>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</si>
  <si>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</si>
  <si>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</si>
  <si>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</si>
  <si>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</si>
  <si>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</si>
  <si>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</si>
  <si>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</si>
  <si>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</si>
  <si>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</si>
  <si>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</si>
  <si>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</si>
  <si>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</si>
  <si>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</si>
  <si>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</si>
  <si>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</si>
  <si>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</si>
  <si>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</si>
  <si>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</si>
  <si>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</si>
  <si>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</si>
  <si>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</si>
  <si>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</si>
  <si>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</si>
  <si>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</si>
  <si>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</si>
  <si>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</si>
  <si>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</si>
  <si>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</si>
  <si>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</si>
  <si>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</si>
  <si>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</si>
  <si>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</si>
  <si>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</si>
  <si>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</si>
  <si>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</si>
  <si>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</si>
  <si>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</si>
  <si>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</si>
  <si>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</si>
  <si>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</si>
  <si>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</si>
  <si>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</si>
  <si>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</si>
  <si>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</si>
  <si>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</si>
  <si>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</si>
  <si>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</si>
  <si>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</si>
  <si>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</si>
  <si>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</si>
  <si>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</si>
  <si>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</si>
  <si>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</si>
  <si>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</si>
  <si>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</si>
  <si>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</si>
  <si>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</si>
  <si>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</si>
  <si>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</si>
  <si>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</si>
  <si>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</si>
  <si>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</si>
  <si>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</si>
  <si>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</si>
  <si>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</si>
  <si>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</si>
  <si>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</si>
  <si>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</si>
  <si>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</si>
  <si>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</si>
  <si>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</si>
  <si>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</si>
  <si>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</si>
  <si>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</si>
  <si>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</si>
  <si>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</si>
  <si>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</si>
  <si>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</si>
  <si>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</si>
  <si>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</si>
  <si>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</si>
  <si>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</si>
  <si>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</si>
  <si>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</si>
  <si>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</si>
  <si>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</si>
  <si>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</si>
  <si>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</si>
  <si>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</si>
  <si>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</si>
  <si>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</si>
  <si>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</si>
  <si>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</si>
  <si>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</si>
  <si>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</si>
  <si>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</si>
  <si>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</si>
  <si>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</si>
  <si>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</si>
  <si>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</si>
  <si>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</si>
  <si>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</si>
  <si>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</si>
  <si>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</si>
  <si>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</si>
  <si>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</si>
  <si>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</si>
  <si>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</si>
  <si>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</si>
  <si>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</si>
  <si>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</si>
  <si>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</si>
  <si>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</si>
  <si>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</si>
  <si>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</si>
  <si>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</si>
  <si>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</si>
  <si>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</si>
  <si>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</si>
  <si>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</si>
  <si>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</si>
  <si>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</si>
  <si>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</si>
  <si>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</si>
  <si>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</si>
  <si>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</si>
  <si>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</si>
  <si>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</si>
  <si>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</si>
  <si>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</si>
  <si>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</si>
  <si>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</si>
  <si>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</si>
  <si>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</si>
  <si>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</si>
  <si>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</si>
  <si>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</si>
  <si>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</si>
  <si>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</si>
  <si>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</si>
  <si>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</si>
  <si>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</si>
  <si>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</si>
  <si>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</si>
  <si>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</si>
  <si>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</si>
  <si>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</si>
  <si>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</si>
  <si>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</si>
  <si>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</si>
  <si>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</si>
  <si>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</si>
  <si>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</si>
  <si>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</si>
  <si>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</si>
  <si>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</si>
  <si>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</si>
  <si>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</si>
  <si>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</si>
  <si>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</si>
  <si>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</si>
  <si>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</si>
  <si>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</si>
  <si>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</si>
  <si>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</si>
  <si>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</si>
  <si>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</si>
  <si>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</si>
  <si>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</si>
  <si>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</si>
  <si>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</si>
  <si>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</si>
  <si>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</si>
  <si>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</si>
  <si>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</si>
  <si>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</si>
  <si>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</si>
  <si>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</si>
  <si>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</si>
  <si>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</si>
  <si>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</si>
  <si>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</si>
  <si>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</si>
  <si>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</si>
  <si>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</si>
  <si>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</si>
  <si>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</si>
  <si>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</si>
  <si>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</si>
  <si>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</si>
  <si>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</si>
  <si>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</si>
  <si>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</si>
  <si>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</si>
  <si>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</si>
  <si>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</si>
  <si>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</si>
  <si>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</si>
  <si>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</si>
  <si>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</si>
  <si>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</si>
  <si>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</si>
  <si>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</si>
  <si>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</si>
  <si>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</si>
  <si>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</si>
  <si>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</si>
  <si>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</si>
  <si>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</si>
  <si>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</si>
  <si>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</si>
  <si>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</si>
  <si>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</si>
  <si>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</si>
  <si>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</si>
  <si>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</si>
  <si>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</si>
  <si>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</si>
  <si>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</si>
  <si>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</si>
  <si>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</si>
  <si>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</si>
  <si>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</si>
  <si>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</si>
  <si>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</si>
  <si>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</si>
  <si>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</si>
  <si>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</si>
  <si>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</si>
  <si>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</si>
  <si>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</si>
  <si>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</si>
  <si>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</si>
  <si>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</si>
  <si>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</si>
  <si>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</si>
  <si>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</si>
  <si>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</si>
  <si>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</si>
  <si>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</si>
  <si>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</si>
  <si>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</si>
  <si>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</si>
  <si>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</si>
  <si>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</si>
  <si>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</si>
  <si>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</si>
  <si>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</si>
  <si>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</si>
  <si>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</si>
  <si>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</si>
  <si>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</si>
  <si>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</si>
  <si>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</si>
  <si>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</si>
  <si>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</si>
  <si>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</si>
  <si>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</si>
  <si>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</si>
  <si>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</si>
  <si>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</si>
  <si>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</si>
  <si>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</si>
  <si>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</si>
  <si>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</si>
  <si>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</si>
  <si>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</si>
  <si>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</si>
  <si>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</si>
  <si>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</si>
  <si>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</si>
  <si>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</si>
  <si>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</si>
  <si>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</si>
  <si>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</si>
  <si>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</si>
  <si>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</si>
  <si>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</si>
  <si>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</si>
  <si>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</si>
  <si>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</si>
  <si>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</si>
  <si>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</si>
  <si>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</si>
  <si>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</si>
  <si>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</si>
  <si>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</si>
  <si>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</si>
  <si>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</si>
  <si>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</si>
  <si>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</si>
  <si>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</si>
  <si>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</si>
  <si>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</si>
  <si>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</si>
  <si>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</si>
  <si>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</si>
  <si>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</si>
  <si>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</si>
  <si>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</si>
  <si>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</si>
  <si>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</si>
  <si>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</si>
  <si>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</si>
  <si>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</si>
  <si>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</si>
  <si>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</si>
  <si>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</si>
  <si>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</si>
  <si>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</si>
  <si>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</si>
  <si>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</si>
  <si>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</si>
  <si>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</si>
  <si>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</si>
  <si>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</si>
  <si>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</si>
  <si>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</si>
  <si>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</si>
  <si>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</si>
  <si>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</si>
  <si>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</si>
  <si>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</si>
  <si>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</si>
  <si>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</si>
  <si>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</si>
  <si>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</si>
  <si>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</si>
  <si>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</si>
  <si>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</si>
  <si>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</si>
  <si>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</si>
  <si>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</si>
  <si>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</si>
  <si>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</si>
  <si>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</si>
  <si>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</si>
  <si>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</si>
  <si>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</si>
  <si>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</si>
  <si>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</si>
  <si>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</si>
  <si>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</si>
  <si>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</si>
  <si>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</si>
  <si>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</si>
  <si>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</si>
  <si>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</si>
  <si>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</si>
  <si>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</si>
  <si>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</si>
  <si>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</si>
  <si>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</si>
  <si>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</si>
  <si>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</si>
  <si>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</si>
  <si>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</si>
  <si>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</si>
  <si>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</si>
  <si>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</si>
  <si>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</si>
  <si>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</si>
  <si>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</si>
  <si>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</si>
  <si>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</si>
  <si>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</si>
  <si>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</si>
  <si>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</si>
  <si>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</si>
  <si>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</si>
  <si>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</si>
  <si>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</si>
  <si>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</si>
  <si>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</si>
  <si>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</si>
  <si>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</si>
  <si>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</si>
  <si>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</si>
  <si>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</si>
  <si>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</si>
  <si>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</si>
  <si>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</si>
  <si>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</si>
  <si>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</si>
  <si>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</si>
  <si>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</si>
  <si>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</si>
  <si>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</si>
  <si>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</si>
  <si>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</si>
  <si>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</si>
  <si>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</si>
  <si>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</si>
  <si>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</si>
  <si>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</si>
  <si>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</si>
  <si>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</si>
  <si>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</si>
  <si>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</si>
  <si>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</si>
  <si>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</si>
  <si>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</si>
  <si>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</si>
  <si>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</si>
  <si>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</si>
  <si>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</si>
  <si>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</si>
  <si>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</si>
  <si>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</si>
  <si>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</si>
  <si>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</si>
  <si>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</si>
  <si>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</si>
  <si>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</si>
  <si>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</si>
  <si>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</si>
  <si>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</si>
  <si>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</si>
  <si>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</si>
  <si>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</si>
  <si>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</si>
  <si>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</si>
  <si>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</si>
  <si>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</si>
  <si>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</si>
  <si>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</si>
  <si>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</si>
  <si>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</si>
  <si>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</si>
  <si>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</si>
  <si>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</si>
  <si>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</si>
  <si>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</si>
  <si>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</si>
  <si>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</si>
  <si>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</si>
  <si>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</si>
  <si>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</si>
  <si>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</si>
  <si>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</si>
  <si>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</si>
  <si>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</si>
  <si>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</si>
  <si>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</si>
  <si>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</si>
  <si>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</si>
  <si>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</si>
  <si>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</si>
  <si>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</si>
  <si>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</si>
  <si>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</si>
  <si>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</si>
  <si>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</si>
  <si>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</si>
  <si>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</si>
  <si>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</si>
  <si>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</si>
  <si>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</si>
  <si>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</si>
  <si>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</si>
  <si>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</si>
  <si>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</si>
  <si>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</si>
  <si>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</si>
  <si>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</si>
  <si>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</si>
  <si>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</si>
  <si>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</si>
  <si>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</si>
  <si>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</si>
  <si>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</si>
  <si>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</si>
  <si>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</si>
  <si>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</si>
  <si>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</si>
  <si>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</si>
  <si>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</si>
  <si>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</si>
  <si>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</si>
  <si>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</si>
  <si>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</si>
  <si>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</si>
  <si>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</si>
  <si>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</si>
  <si>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</si>
  <si>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</si>
  <si>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</si>
  <si>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</si>
  <si>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</si>
  <si>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</si>
  <si>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</si>
  <si>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</si>
  <si>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</si>
  <si>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</si>
  <si>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</si>
  <si>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</si>
  <si>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</si>
  <si>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</si>
  <si>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</si>
  <si>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</si>
  <si>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</si>
  <si>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</si>
  <si>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</si>
  <si>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</si>
  <si>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</si>
  <si>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</si>
  <si>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</si>
  <si>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</si>
  <si>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</si>
  <si>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</si>
  <si>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</si>
  <si>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</si>
  <si>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</si>
  <si>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</si>
  <si>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</si>
  <si>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</si>
  <si>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</si>
  <si>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</si>
  <si>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</si>
  <si>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</si>
  <si>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</si>
  <si>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</si>
  <si>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</si>
  <si>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</si>
  <si>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</si>
  <si>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</si>
  <si>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</si>
  <si>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</si>
  <si>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</si>
  <si>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</si>
  <si>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</si>
  <si>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</si>
  <si>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</si>
  <si>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</si>
  <si>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</si>
  <si>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</si>
  <si>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</si>
  <si>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</si>
  <si>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</si>
  <si>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</si>
  <si>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</si>
  <si>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</si>
  <si>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</si>
  <si>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</si>
  <si>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</si>
  <si>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</si>
  <si>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</si>
  <si>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</si>
  <si>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</si>
  <si>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</si>
  <si>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</si>
  <si>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</si>
  <si>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</si>
  <si>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</si>
  <si>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</si>
  <si>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</si>
  <si>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</si>
  <si>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</si>
  <si>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</si>
  <si>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</si>
  <si>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</si>
  <si>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</si>
  <si>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</si>
  <si>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</si>
  <si>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</si>
  <si>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</si>
  <si>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</si>
  <si>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</si>
  <si>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</si>
  <si>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</si>
  <si>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</si>
  <si>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</si>
  <si>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</si>
  <si>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</si>
  <si>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</si>
  <si>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</si>
  <si>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</si>
  <si>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</si>
  <si>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</si>
  <si>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</si>
  <si>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</si>
  <si>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</si>
  <si>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</si>
  <si>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</si>
  <si>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</si>
  <si>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</si>
  <si>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</si>
  <si>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</si>
  <si>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</si>
  <si>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</si>
  <si>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</si>
  <si>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</si>
  <si>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</si>
  <si>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</si>
  <si>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</si>
  <si>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</si>
  <si>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</si>
  <si>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</si>
  <si>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</si>
  <si>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</si>
  <si>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</si>
  <si>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</si>
  <si>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</si>
  <si>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</si>
  <si>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</si>
  <si>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</si>
  <si>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</si>
  <si>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</si>
  <si>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</si>
  <si>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</si>
  <si>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</si>
  <si>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</si>
  <si>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</si>
  <si>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</si>
  <si>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</si>
  <si>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</si>
  <si>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</si>
  <si>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</si>
  <si>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</si>
  <si>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</si>
  <si>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</si>
  <si>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</si>
  <si>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</si>
  <si>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</si>
  <si>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</si>
  <si>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</si>
  <si>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</si>
  <si>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</si>
  <si>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</si>
  <si>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</si>
  <si>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</si>
  <si>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</si>
  <si>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</si>
  <si>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</si>
  <si>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</si>
  <si>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</si>
  <si>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</si>
  <si>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</si>
  <si>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</si>
  <si>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</si>
  <si>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</si>
  <si>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</si>
  <si>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</si>
  <si>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</si>
  <si>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</si>
  <si>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</si>
  <si>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</si>
  <si>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</si>
  <si>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</si>
  <si>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</si>
  <si>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</si>
  <si>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</si>
  <si>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</si>
  <si>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</si>
  <si>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</si>
  <si>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</si>
  <si>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</si>
  <si>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</si>
  <si>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</si>
  <si>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</si>
  <si>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</si>
  <si>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</si>
  <si>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</si>
  <si>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</si>
  <si>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</si>
  <si>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</si>
  <si>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</si>
  <si>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</si>
  <si>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</si>
  <si>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</si>
  <si>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</si>
  <si>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</si>
  <si>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</si>
  <si>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</si>
  <si>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</si>
  <si>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</si>
  <si>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</si>
  <si>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</si>
  <si>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</si>
  <si>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</si>
  <si>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</si>
  <si>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</si>
  <si>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</si>
  <si>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</si>
  <si>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</si>
  <si>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</si>
  <si>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</si>
  <si>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</si>
  <si>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</si>
  <si>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</si>
  <si>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</si>
  <si>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</si>
  <si>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</si>
  <si>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</si>
  <si>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</si>
  <si>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</si>
  <si>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</si>
  <si>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</si>
  <si>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</si>
  <si>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</si>
  <si>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</si>
  <si>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</si>
  <si>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</si>
  <si>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</si>
  <si>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</si>
  <si>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</si>
  <si>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</si>
  <si>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</si>
  <si>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</si>
  <si>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</si>
  <si>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</si>
  <si>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</si>
  <si>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</si>
  <si>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</si>
  <si>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</si>
  <si>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</si>
  <si>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</si>
  <si>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</si>
  <si>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</si>
  <si>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</si>
  <si>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</si>
  <si>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</si>
  <si>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</si>
  <si>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</si>
  <si>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</si>
  <si>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</si>
  <si>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</si>
  <si>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</si>
  <si>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</si>
  <si>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</si>
  <si>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</si>
  <si>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</si>
  <si>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</si>
  <si>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</si>
  <si>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</si>
  <si>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</si>
  <si>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</si>
  <si>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</si>
  <si>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</si>
  <si>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</si>
  <si>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</si>
  <si>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</si>
  <si>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</si>
  <si>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</si>
  <si>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</si>
  <si>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</si>
  <si>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</si>
  <si>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</si>
  <si>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</si>
  <si>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</si>
  <si>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</si>
  <si>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</si>
  <si>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</si>
  <si>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</si>
  <si>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</si>
  <si>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</si>
  <si>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</si>
  <si>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</si>
  <si>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</si>
  <si>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</si>
  <si>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</si>
  <si>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</si>
  <si>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</si>
  <si>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</si>
  <si>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</si>
  <si>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</si>
  <si>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</si>
  <si>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</si>
  <si>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</si>
  <si>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</si>
  <si>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</si>
  <si>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</si>
  <si>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</si>
  <si>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</si>
  <si>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</si>
  <si>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</si>
  <si>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</si>
  <si>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</si>
  <si>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</si>
  <si>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</si>
  <si>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</si>
  <si>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</si>
  <si>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</si>
  <si>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</si>
  <si>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</si>
  <si>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</si>
  <si>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</si>
  <si>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</si>
  <si>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</si>
  <si>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</si>
  <si>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</si>
  <si>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</si>
  <si>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</si>
  <si>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</si>
  <si>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</si>
  <si>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</si>
  <si>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</si>
  <si>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</si>
  <si>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</si>
  <si>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</si>
  <si>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</si>
  <si>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</si>
  <si>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</si>
  <si>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</si>
  <si>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</si>
  <si>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</si>
  <si>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</si>
  <si>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</si>
  <si>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</si>
  <si>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</si>
  <si>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</si>
  <si>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</si>
  <si>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</si>
  <si>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</si>
  <si>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</si>
  <si>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</si>
  <si>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</si>
  <si>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</si>
  <si>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</si>
  <si>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</si>
  <si>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</si>
  <si>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</si>
  <si>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</si>
  <si>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</si>
  <si>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</si>
  <si>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</si>
  <si>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</si>
  <si>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</si>
  <si>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</si>
  <si>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</si>
  <si>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</si>
  <si>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</si>
  <si>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</si>
  <si>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</si>
  <si>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</si>
  <si>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</si>
  <si>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</si>
  <si>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</si>
  <si>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</si>
  <si>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</si>
  <si>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</si>
  <si>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</si>
  <si>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</si>
  <si>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</si>
  <si>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</si>
  <si>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</si>
  <si>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</si>
  <si>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</si>
  <si>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</si>
  <si>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</si>
  <si>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</si>
  <si>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</si>
  <si>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</si>
  <si>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</si>
  <si>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</si>
  <si>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</si>
  <si>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</si>
  <si>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</si>
  <si>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</si>
  <si>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</si>
  <si>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</si>
  <si>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</si>
  <si>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</si>
  <si>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</si>
  <si>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</si>
  <si>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</si>
  <si>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</si>
  <si>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</si>
  <si>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</si>
  <si>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</si>
  <si>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</si>
  <si>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</si>
  <si>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</si>
  <si>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</si>
  <si>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</si>
  <si>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</si>
  <si>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</si>
  <si>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</si>
  <si>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</si>
  <si>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</si>
  <si>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</si>
  <si>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</si>
  <si>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</si>
  <si>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</si>
  <si>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</si>
  <si>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</si>
  <si>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</si>
  <si>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</si>
  <si>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</si>
  <si>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</si>
  <si>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</si>
  <si>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</si>
  <si>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</si>
  <si>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</si>
  <si>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</si>
  <si>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</si>
  <si>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</si>
  <si>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</si>
  <si>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</si>
  <si>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</si>
  <si>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</si>
  <si>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</si>
  <si>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</si>
  <si>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</si>
  <si>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</si>
  <si>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</si>
  <si>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</si>
  <si>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</si>
  <si>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</si>
  <si>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</si>
  <si>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</si>
  <si>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</si>
  <si>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</si>
  <si>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</si>
  <si>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</si>
  <si>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</si>
  <si>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</si>
  <si>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</si>
  <si>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</si>
  <si>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</si>
  <si>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</si>
  <si>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</si>
  <si>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</si>
  <si>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</si>
  <si>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</si>
  <si>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</si>
  <si>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</si>
  <si>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</si>
  <si>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</si>
  <si>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</si>
  <si>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</si>
  <si>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</si>
  <si>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</si>
  <si>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</si>
  <si>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</si>
  <si>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</si>
  <si>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</si>
  <si>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</si>
  <si>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</si>
  <si>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</si>
  <si>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</si>
  <si>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</si>
  <si>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</si>
  <si>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</si>
  <si>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</si>
  <si>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</si>
  <si>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</si>
  <si>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</si>
  <si>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</si>
  <si>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</si>
  <si>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</si>
  <si>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</si>
  <si>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</si>
  <si>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</si>
  <si>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</si>
  <si>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</si>
  <si>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</si>
  <si>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</si>
  <si>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</si>
  <si>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</si>
  <si>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</si>
  <si>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</si>
  <si>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</si>
  <si>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</si>
  <si>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</si>
  <si>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</si>
  <si>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</si>
  <si>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</si>
  <si>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</si>
  <si>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</si>
  <si>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</si>
  <si>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</si>
  <si>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</si>
  <si>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</si>
  <si>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</si>
  <si>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</si>
  <si>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</si>
  <si>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</si>
  <si>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</si>
  <si>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</si>
  <si>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</si>
  <si>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</si>
  <si>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</si>
  <si>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</si>
  <si>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</si>
  <si>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</si>
  <si>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</si>
  <si>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</si>
  <si>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</si>
  <si>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</si>
  <si>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</si>
  <si>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</si>
  <si>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</si>
  <si>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</si>
  <si>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</si>
  <si>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</si>
  <si>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</si>
  <si>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</si>
  <si>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</si>
  <si>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</si>
  <si>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</si>
  <si>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</si>
  <si>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</si>
  <si>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</si>
  <si>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</si>
  <si>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</si>
  <si>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</si>
  <si>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</si>
  <si>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</si>
  <si>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</si>
  <si>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</si>
  <si>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</si>
  <si>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</si>
  <si>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</si>
  <si>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</si>
  <si>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</si>
  <si>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</si>
  <si>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</si>
  <si>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</si>
  <si>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</si>
  <si>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</si>
  <si>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</si>
  <si>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</si>
  <si>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</si>
  <si>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</si>
  <si>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</si>
  <si>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</si>
  <si>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</si>
  <si>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</si>
  <si>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</si>
  <si>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</si>
  <si>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</si>
  <si>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</si>
  <si>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</si>
  <si>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</si>
  <si>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</si>
  <si>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</si>
  <si>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</si>
  <si>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</si>
  <si>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</si>
  <si>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</si>
  <si>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</si>
  <si>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</si>
  <si>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</si>
  <si>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</si>
  <si>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</si>
  <si>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</si>
  <si>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</si>
  <si>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</si>
  <si>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</si>
  <si>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</si>
  <si>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</si>
  <si>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</si>
  <si>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</si>
  <si>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</si>
  <si>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</si>
  <si>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</si>
  <si>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</si>
  <si>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</si>
  <si>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</si>
  <si>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</si>
  <si>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</si>
  <si>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</si>
  <si>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</si>
  <si>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</si>
  <si>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</si>
  <si>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</si>
  <si>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</si>
  <si>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</si>
  <si>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</si>
  <si>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</si>
  <si>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</si>
  <si>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</si>
  <si>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</si>
  <si>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</si>
  <si>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</si>
  <si>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</si>
  <si>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</si>
  <si>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</si>
  <si>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</si>
  <si>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</si>
  <si>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</si>
  <si>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</si>
  <si>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</si>
  <si>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</si>
  <si>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</si>
  <si>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</si>
  <si>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</si>
  <si>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</si>
  <si>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</si>
  <si>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</si>
  <si>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</si>
  <si>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</si>
  <si>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</si>
  <si>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</si>
  <si>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</si>
  <si>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</si>
  <si>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</si>
  <si>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</si>
  <si>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</si>
  <si>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</si>
  <si>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</si>
  <si>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</si>
  <si>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</si>
  <si>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</si>
  <si>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</si>
  <si>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</si>
  <si>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</si>
  <si>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</si>
  <si>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</si>
  <si>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</si>
  <si>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</si>
  <si>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</si>
  <si>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</si>
  <si>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</si>
  <si>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</si>
  <si>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</si>
  <si>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</si>
  <si>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</si>
  <si>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</si>
  <si>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</si>
  <si>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</si>
  <si>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</si>
  <si>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</si>
  <si>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</si>
  <si>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</si>
  <si>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</si>
  <si>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</si>
  <si>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</si>
  <si>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</si>
  <si>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</si>
  <si>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</si>
  <si>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</si>
  <si>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</si>
  <si>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</si>
  <si>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</si>
  <si>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</si>
  <si>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</si>
  <si>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</si>
  <si>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</si>
  <si>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</si>
  <si>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</si>
  <si>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</si>
  <si>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</si>
  <si>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</si>
  <si>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</si>
  <si>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</si>
  <si>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</si>
  <si>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</si>
  <si>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</si>
  <si>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</si>
  <si>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</si>
  <si>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</si>
  <si>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</si>
  <si>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</si>
  <si>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</si>
  <si>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</si>
  <si>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</si>
  <si>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</si>
  <si>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</si>
  <si>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</si>
  <si>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</si>
  <si>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</si>
  <si>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</si>
  <si>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</si>
  <si>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</si>
  <si>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</si>
  <si>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</si>
  <si>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</si>
  <si>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</si>
  <si>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</si>
  <si>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</si>
  <si>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</si>
  <si>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</si>
  <si>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</si>
  <si>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</si>
  <si>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</si>
  <si>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</si>
  <si>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</si>
  <si>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</si>
  <si>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</si>
  <si>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</si>
  <si>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</si>
  <si>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</si>
  <si>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</si>
  <si>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</si>
  <si>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</si>
  <si>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</si>
  <si>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</si>
  <si>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</si>
  <si>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</si>
  <si>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</si>
  <si>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</si>
  <si>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</si>
  <si>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</si>
  <si>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</si>
  <si>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</si>
  <si>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</si>
  <si>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</si>
  <si>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</si>
  <si>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</si>
  <si>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</si>
  <si>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</si>
  <si>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</si>
  <si>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</si>
  <si>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</si>
  <si>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</si>
  <si>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</si>
  <si>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</si>
  <si>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</si>
  <si>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</si>
  <si>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</si>
  <si>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</si>
  <si>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</si>
  <si>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</si>
  <si>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</si>
  <si>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</si>
  <si>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</si>
  <si>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</si>
  <si>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</si>
  <si>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</si>
  <si>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</si>
  <si>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</si>
  <si>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</si>
  <si>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</si>
  <si>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</si>
  <si>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</si>
  <si>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</si>
  <si>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</si>
  <si>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</si>
  <si>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</si>
  <si>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</si>
  <si>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</si>
  <si>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</si>
  <si>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</si>
  <si>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</si>
  <si>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</si>
  <si>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</si>
  <si>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</si>
  <si>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</si>
  <si>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</si>
  <si>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</si>
  <si>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</si>
  <si>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</si>
  <si>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</si>
  <si>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</si>
  <si>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</si>
  <si>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</si>
  <si>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</si>
  <si>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</si>
  <si>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</si>
  <si>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</si>
  <si>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</si>
  <si>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</si>
  <si>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</si>
  <si>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</si>
  <si>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</si>
  <si>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</si>
  <si>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</si>
  <si>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</si>
  <si>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</si>
  <si>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</si>
  <si>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</si>
  <si>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</si>
  <si>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</si>
  <si>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</si>
  <si>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</si>
  <si>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</si>
  <si>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</si>
  <si>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</si>
  <si>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</si>
  <si>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</si>
  <si>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</si>
  <si>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</si>
  <si>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</si>
  <si>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</si>
  <si>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</si>
  <si>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</si>
  <si>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</si>
  <si>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</si>
  <si>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</si>
  <si>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</si>
  <si>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</si>
  <si>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</si>
  <si>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</si>
  <si>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</si>
  <si>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</si>
  <si>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</si>
  <si>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</si>
  <si>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</si>
  <si>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</si>
  <si>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</si>
  <si>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</si>
  <si>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</si>
  <si>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</si>
  <si>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</si>
  <si>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</si>
  <si>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</si>
  <si>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</si>
  <si>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</si>
  <si>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</si>
  <si>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</si>
  <si>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</si>
  <si>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</si>
  <si>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</si>
  <si>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</si>
  <si>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</si>
  <si>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</si>
  <si>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</si>
  <si>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</si>
  <si>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</si>
  <si>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</si>
  <si>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</si>
  <si>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</si>
  <si>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</si>
  <si>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</si>
  <si>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</si>
  <si>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</si>
  <si>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</si>
  <si>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</si>
  <si>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</si>
  <si>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</si>
  <si>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</si>
  <si>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</si>
  <si>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</si>
  <si>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</si>
  <si>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</si>
  <si>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</si>
  <si>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</si>
  <si>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</si>
  <si>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</si>
  <si>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</si>
  <si>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</si>
  <si>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</si>
  <si>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</si>
  <si>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</si>
  <si>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</si>
  <si>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</si>
  <si>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</si>
  <si>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</si>
  <si>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</si>
  <si>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</si>
  <si>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</si>
  <si>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</si>
  <si>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</si>
  <si>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</si>
  <si>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</si>
  <si>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</si>
  <si>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</si>
  <si>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</si>
  <si>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</si>
  <si>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</si>
  <si>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</si>
  <si>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</si>
  <si>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</si>
  <si>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</si>
  <si>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</si>
  <si>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</si>
  <si>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</si>
  <si>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</si>
  <si>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</si>
  <si>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</si>
  <si>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</si>
  <si>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</si>
  <si>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</si>
  <si>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</si>
  <si>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</si>
  <si>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</si>
  <si>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</si>
  <si>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</si>
  <si>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</si>
  <si>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</si>
  <si>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</si>
  <si>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</si>
  <si>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</si>
  <si>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</si>
  <si>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</si>
  <si>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</si>
  <si>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</si>
  <si>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</si>
  <si>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</si>
  <si>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</si>
  <si>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</si>
  <si>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</si>
  <si>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</si>
  <si>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</si>
  <si>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</si>
  <si>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</si>
  <si>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</si>
  <si>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</si>
  <si>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</si>
  <si>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</si>
  <si>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</si>
  <si>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</si>
  <si>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</si>
  <si>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</si>
  <si>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</si>
  <si>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</si>
  <si>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</si>
  <si>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</si>
  <si>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</si>
  <si>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</si>
  <si>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</si>
  <si>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</si>
  <si>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</si>
  <si>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</si>
  <si>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</si>
  <si>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</si>
  <si>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</si>
  <si>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</si>
  <si>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</si>
  <si>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</si>
  <si>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</si>
  <si>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</si>
  <si>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</si>
  <si>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</si>
  <si>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</si>
  <si>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</si>
  <si>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</si>
  <si>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</si>
  <si>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</si>
  <si>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</si>
  <si>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</si>
  <si>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</si>
  <si>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</si>
  <si>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</si>
  <si>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</si>
  <si>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</si>
  <si>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</si>
  <si>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</si>
  <si>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</si>
  <si>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</si>
  <si>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</si>
  <si>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</si>
  <si>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</si>
  <si>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</si>
  <si>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</si>
  <si>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</si>
  <si>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</si>
  <si>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</si>
  <si>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</si>
  <si>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</si>
  <si>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</si>
  <si>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</si>
  <si>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</si>
  <si>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</si>
  <si>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</si>
  <si>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</si>
  <si>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</si>
  <si>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</si>
  <si>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</si>
  <si>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</si>
  <si>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</si>
  <si>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</si>
  <si>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</si>
  <si>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</si>
  <si>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</si>
  <si>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</si>
  <si>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</si>
  <si>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</si>
  <si>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</si>
  <si>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</si>
  <si>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</si>
  <si>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</si>
  <si>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</si>
  <si>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</si>
  <si>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</si>
  <si>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</si>
  <si>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</si>
  <si>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</si>
  <si>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</si>
  <si>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</si>
  <si>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</si>
  <si>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</si>
  <si>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</si>
  <si>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</si>
  <si>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</si>
  <si>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</si>
  <si>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</si>
  <si>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</si>
  <si>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</si>
  <si>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</si>
  <si>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</si>
  <si>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</si>
  <si>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</si>
  <si>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</si>
  <si>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</si>
  <si>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</si>
  <si>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</si>
  <si>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</si>
  <si>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</si>
  <si>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</si>
  <si>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</si>
  <si>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</si>
  <si>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</si>
  <si>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</si>
  <si>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</si>
  <si>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</si>
  <si>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</si>
  <si>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</si>
  <si>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</si>
  <si>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</si>
  <si>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</si>
  <si>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</si>
  <si>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</si>
  <si>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</si>
  <si>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</si>
  <si>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</si>
  <si>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</si>
  <si>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</si>
  <si>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</si>
  <si>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</si>
  <si>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</si>
  <si>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</si>
  <si>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</si>
  <si>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</si>
  <si>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</si>
  <si>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</si>
  <si>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</si>
  <si>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</si>
  <si>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</si>
  <si>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</si>
  <si>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</si>
  <si>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</si>
  <si>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</si>
  <si>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</si>
  <si>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</si>
  <si>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</si>
  <si>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</si>
  <si>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</si>
  <si>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</si>
  <si>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</si>
  <si>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</si>
  <si>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</si>
  <si>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</si>
  <si>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</si>
  <si>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</si>
  <si>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</si>
  <si>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</si>
  <si>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</si>
  <si>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</si>
  <si>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</si>
  <si>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</si>
  <si>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</si>
  <si>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</si>
  <si>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</si>
  <si>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</si>
  <si>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</si>
  <si>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</si>
  <si>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</si>
  <si>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</si>
  <si>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</si>
  <si>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</si>
  <si>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</si>
  <si>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</si>
  <si>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</si>
  <si>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</si>
  <si>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</si>
  <si>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</si>
  <si>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</si>
  <si>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</si>
  <si>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</si>
  <si>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</si>
  <si>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</si>
  <si>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</si>
  <si>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</si>
  <si>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</si>
  <si>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</si>
  <si>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</si>
  <si>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</si>
  <si>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</si>
  <si>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</si>
  <si>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</si>
  <si>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</si>
  <si>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</si>
  <si>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</si>
  <si>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</si>
  <si>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</si>
  <si>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</si>
  <si>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</si>
  <si>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</si>
  <si>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</si>
  <si>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</si>
  <si>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</si>
  <si>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</si>
  <si>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</si>
  <si>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</si>
  <si>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</si>
  <si>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</si>
  <si>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</si>
  <si>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</si>
  <si>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</si>
  <si>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</si>
  <si>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</si>
  <si>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</si>
  <si>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</si>
  <si>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</si>
  <si>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</si>
  <si>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</si>
  <si>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</si>
  <si>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</si>
  <si>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</si>
  <si>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</si>
  <si>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</si>
  <si>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</si>
  <si>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</si>
  <si>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</si>
  <si>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</si>
  <si>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</si>
  <si>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</si>
  <si>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</si>
  <si>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</si>
  <si>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</si>
  <si>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</si>
  <si>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</si>
  <si>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</si>
  <si>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</si>
  <si>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</si>
  <si>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</si>
  <si>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</si>
  <si>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</si>
  <si>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</si>
  <si>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</si>
  <si>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</si>
  <si>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</si>
  <si>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</si>
  <si>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</si>
  <si>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</si>
  <si>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</si>
  <si>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</si>
  <si>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</si>
  <si>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</si>
  <si>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</si>
  <si>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</si>
  <si>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</si>
  <si>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</si>
  <si>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</si>
  <si>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</si>
  <si>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</si>
  <si>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</si>
  <si>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</si>
  <si>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</si>
  <si>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</si>
  <si>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</si>
  <si>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</si>
  <si>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</si>
  <si>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</si>
  <si>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</si>
  <si>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</si>
  <si>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</si>
  <si>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</si>
  <si>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</si>
  <si>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</si>
  <si>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</si>
  <si>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</si>
  <si>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</si>
  <si>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</si>
  <si>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</si>
  <si>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</si>
  <si>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</si>
  <si>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</si>
  <si>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</si>
  <si>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</si>
  <si>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</si>
  <si>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</si>
  <si>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</si>
  <si>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</si>
  <si>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</si>
  <si>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</si>
  <si>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</si>
  <si>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</si>
  <si>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</si>
  <si>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</si>
  <si>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</si>
  <si>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</si>
  <si>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</si>
  <si>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</si>
  <si>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</si>
  <si>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</si>
  <si>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</si>
  <si>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</si>
  <si>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</si>
  <si>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</si>
  <si>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</si>
  <si>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</si>
  <si>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</si>
  <si>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</si>
  <si>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</si>
  <si>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</si>
  <si>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</si>
  <si>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</si>
  <si>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</si>
  <si>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</si>
  <si>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</si>
  <si>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</si>
  <si>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</si>
  <si>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</si>
  <si>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</si>
  <si>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</si>
  <si>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</si>
  <si>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</si>
  <si>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</si>
  <si>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</si>
  <si>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</si>
  <si>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</si>
  <si>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</si>
  <si>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</si>
  <si>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</si>
  <si>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</si>
  <si>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</si>
  <si>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</si>
  <si>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</si>
  <si>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</si>
  <si>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</si>
  <si>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</si>
  <si>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</si>
  <si>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</si>
  <si>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</si>
  <si>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</si>
  <si>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</si>
  <si>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</si>
  <si>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</si>
  <si>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</si>
  <si>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</si>
  <si>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</si>
  <si>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</si>
  <si>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</si>
  <si>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</si>
  <si>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</si>
  <si>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</si>
  <si>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</si>
  <si>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</si>
  <si>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</si>
  <si>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</si>
  <si>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</si>
  <si>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</si>
  <si>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</si>
  <si>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</si>
  <si>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</si>
  <si>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</si>
  <si>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</si>
  <si>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</si>
  <si>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</si>
  <si>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</si>
  <si>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</si>
  <si>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</si>
  <si>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</si>
  <si>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</si>
  <si>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</si>
  <si>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</si>
  <si>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</si>
  <si>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</si>
  <si>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</si>
  <si>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</si>
  <si>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</si>
  <si>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</si>
  <si>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</si>
  <si>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</si>
  <si>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</si>
  <si>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</si>
  <si>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</si>
  <si>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</si>
  <si>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</si>
  <si>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</si>
  <si>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</si>
  <si>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</si>
  <si>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</si>
  <si>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</si>
  <si>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</si>
  <si>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</si>
  <si>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</si>
  <si>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</si>
  <si>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</si>
  <si>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</si>
  <si>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</si>
  <si>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</si>
  <si>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</si>
  <si>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</si>
  <si>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</si>
  <si>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</si>
  <si>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</si>
  <si>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</si>
  <si>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</si>
  <si>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</si>
  <si>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</si>
  <si>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</si>
  <si>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</si>
  <si>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</si>
  <si>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</si>
  <si>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</si>
  <si>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</si>
  <si>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</si>
  <si>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</si>
  <si>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</si>
  <si>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</si>
  <si>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</si>
  <si>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</si>
  <si>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</si>
  <si>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</si>
  <si>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</si>
  <si>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</si>
  <si>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</si>
  <si>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</si>
  <si>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</si>
  <si>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</si>
  <si>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</si>
  <si>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</si>
  <si>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</si>
  <si>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</si>
  <si>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</si>
  <si>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</si>
  <si>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</si>
  <si>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</si>
  <si>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</si>
  <si>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</si>
  <si>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</si>
  <si>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</si>
  <si>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</si>
  <si>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</si>
  <si>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</si>
  <si>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</si>
  <si>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</si>
  <si>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</si>
  <si>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</si>
  <si>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</si>
  <si>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</si>
  <si>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</si>
  <si>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</si>
  <si>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</si>
  <si>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</si>
  <si>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</si>
  <si>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</si>
  <si>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</si>
  <si>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</si>
  <si>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</si>
  <si>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</si>
  <si>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</si>
  <si>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</si>
  <si>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</si>
  <si>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</si>
  <si>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</si>
  <si>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</si>
  <si>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</si>
  <si>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</si>
  <si>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</si>
  <si>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</si>
  <si>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</si>
  <si>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</si>
  <si>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</si>
  <si>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</si>
  <si>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</si>
  <si>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</si>
  <si>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</si>
  <si>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</si>
  <si>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</si>
  <si>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</si>
  <si>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</si>
  <si>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</si>
  <si>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</si>
  <si>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</si>
  <si>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</si>
  <si>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</si>
  <si>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</si>
  <si>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</si>
  <si>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</si>
  <si>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</si>
  <si>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</si>
  <si>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</si>
  <si>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</si>
  <si>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</si>
  <si>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</si>
  <si>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</si>
  <si>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</si>
  <si>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</si>
  <si>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</si>
  <si>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</si>
  <si>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</si>
  <si>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</si>
  <si>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</si>
  <si>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</si>
  <si>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</si>
  <si>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</si>
  <si>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</si>
  <si>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</si>
  <si>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</si>
  <si>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</si>
  <si>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</si>
  <si>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</si>
  <si>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</si>
  <si>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</si>
  <si>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</si>
  <si>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</si>
  <si>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</si>
  <si>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</si>
  <si>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</si>
  <si>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</si>
  <si>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</si>
  <si>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</si>
  <si>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</si>
  <si>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</si>
  <si>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</si>
  <si>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</si>
  <si>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</si>
  <si>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</si>
  <si>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</si>
  <si>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</si>
  <si>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</si>
  <si>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</si>
  <si>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</si>
  <si>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</si>
  <si>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</si>
  <si>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</si>
  <si>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</si>
  <si>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</si>
  <si>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</si>
  <si>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</si>
  <si>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</si>
  <si>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</si>
  <si>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</si>
  <si>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</si>
  <si>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</si>
  <si>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</si>
  <si>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</si>
  <si>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</si>
  <si>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</si>
  <si>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</si>
  <si>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</si>
  <si>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</si>
  <si>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</si>
  <si>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</si>
  <si>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</si>
  <si>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</si>
  <si>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</si>
  <si>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</si>
  <si>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</si>
  <si>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</si>
  <si>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</si>
  <si>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</si>
  <si>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</si>
  <si>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</si>
  <si>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</si>
  <si>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</si>
  <si>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</si>
  <si>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</si>
  <si>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</si>
  <si>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</si>
  <si>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</si>
  <si>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</si>
  <si>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</si>
  <si>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</si>
  <si>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</si>
  <si>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</si>
  <si>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</si>
  <si>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</si>
  <si>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</si>
  <si>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</si>
  <si>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</si>
  <si>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</si>
  <si>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</si>
  <si>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</si>
  <si>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</si>
  <si>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</si>
  <si>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</si>
  <si>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</si>
  <si>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</si>
  <si>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</si>
  <si>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</si>
  <si>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</si>
  <si>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</si>
  <si>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</si>
  <si>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</si>
  <si>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</si>
  <si>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</si>
  <si>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</si>
  <si>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</si>
  <si>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</si>
  <si>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</si>
  <si>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</si>
  <si>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</si>
  <si>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</si>
  <si>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</si>
  <si>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</si>
  <si>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</si>
  <si>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</si>
  <si>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</si>
  <si>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</si>
  <si>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</si>
  <si>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</si>
  <si>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</si>
  <si>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</si>
  <si>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</si>
  <si>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</si>
  <si>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</si>
  <si>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</si>
  <si>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</si>
  <si>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</si>
  <si>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</si>
  <si>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</si>
  <si>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</si>
  <si>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</si>
  <si>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</si>
  <si>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</si>
  <si>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</si>
  <si>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</si>
  <si>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</si>
  <si>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</si>
  <si>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</si>
  <si>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</si>
  <si>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</si>
  <si>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</si>
  <si>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</si>
  <si>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</si>
  <si>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</si>
  <si>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</si>
  <si>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</si>
  <si>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</si>
  <si>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</si>
  <si>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</si>
  <si>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</si>
  <si>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</si>
  <si>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</si>
  <si>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</si>
  <si>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</si>
  <si>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</si>
  <si>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</si>
  <si>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</si>
  <si>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</si>
  <si>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</si>
  <si>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</si>
  <si>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</si>
  <si>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</si>
  <si>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</si>
  <si>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</si>
  <si>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</si>
  <si>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</si>
  <si>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</si>
  <si>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</si>
  <si>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</si>
  <si>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</si>
  <si>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</si>
  <si>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</si>
  <si>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</si>
  <si>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</si>
  <si>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</si>
  <si>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</si>
  <si>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</si>
  <si>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</si>
  <si>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</si>
  <si>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</si>
  <si>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</si>
  <si>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</si>
  <si>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</si>
  <si>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</si>
  <si>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</si>
  <si>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</si>
  <si>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</si>
  <si>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</si>
  <si>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</si>
  <si>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</si>
  <si>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</si>
  <si>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</si>
  <si>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</si>
  <si>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</si>
  <si>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</si>
  <si>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</si>
  <si>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</si>
  <si>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</si>
  <si>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</si>
  <si>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</si>
  <si>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</si>
  <si>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</si>
  <si>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</si>
  <si>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</si>
  <si>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</si>
  <si>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</si>
  <si>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</si>
  <si>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</si>
  <si>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</si>
  <si>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</si>
  <si>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</si>
  <si>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</si>
  <si>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</si>
  <si>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</si>
  <si>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</si>
  <si>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</si>
  <si>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</si>
  <si>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</si>
  <si>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</si>
  <si>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</si>
  <si>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</si>
  <si>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</si>
  <si>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</si>
  <si>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</si>
  <si>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</si>
  <si>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</si>
  <si>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</si>
  <si>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</si>
  <si>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</si>
  <si>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</si>
  <si>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</si>
  <si>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</si>
  <si>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</si>
  <si>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</si>
  <si>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</si>
  <si>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</si>
  <si>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</si>
  <si>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</si>
  <si>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</si>
  <si>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</si>
  <si>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</si>
  <si>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</si>
  <si>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</si>
  <si>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</si>
  <si>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</si>
  <si>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</si>
  <si>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</si>
  <si>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</si>
  <si>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</si>
  <si>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</si>
  <si>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</si>
  <si>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</si>
  <si>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</si>
  <si>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</si>
  <si>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</si>
  <si>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</si>
  <si>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</si>
  <si>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</si>
  <si>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</si>
  <si>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</si>
  <si>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</si>
  <si>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</si>
  <si>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</si>
  <si>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</si>
  <si>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</si>
  <si>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</si>
  <si>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</si>
  <si>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</si>
  <si>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</si>
  <si>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</si>
  <si>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</si>
  <si>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</si>
  <si>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</si>
  <si>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</si>
  <si>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</si>
  <si>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</si>
  <si>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</si>
  <si>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</si>
  <si>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</si>
  <si>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</si>
  <si>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</si>
  <si>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</si>
  <si>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</si>
  <si>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</si>
  <si>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</si>
  <si>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</si>
  <si>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</si>
  <si>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</si>
  <si>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</si>
  <si>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</si>
  <si>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</si>
  <si>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</si>
  <si>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</si>
  <si>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</si>
  <si>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</si>
  <si>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</si>
  <si>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</si>
  <si>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</si>
  <si>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</si>
  <si>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</si>
  <si>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</si>
  <si>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</si>
  <si>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</si>
  <si>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</si>
  <si>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</si>
  <si>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</si>
  <si>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</si>
  <si>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</si>
  <si>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</si>
  <si>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</si>
  <si>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</si>
  <si>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</si>
  <si>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</si>
  <si>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</si>
  <si>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</si>
  <si>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</si>
  <si>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</si>
  <si>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</si>
  <si>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</si>
  <si>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</si>
  <si>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</si>
  <si>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</si>
  <si>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</si>
  <si>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</si>
  <si>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</si>
  <si>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</si>
  <si>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</si>
  <si>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</si>
  <si>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</si>
  <si>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</si>
  <si>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</si>
  <si>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</si>
  <si>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</si>
  <si>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</si>
  <si>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</si>
  <si>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</si>
  <si>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</si>
  <si>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</si>
  <si>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</si>
  <si>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</si>
  <si>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</si>
  <si>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</si>
  <si>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</si>
  <si>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</si>
  <si>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</si>
  <si>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</si>
  <si>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</si>
  <si>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</si>
  <si>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</si>
  <si>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</si>
  <si>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</si>
  <si>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</si>
  <si>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</si>
  <si>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</si>
  <si>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</si>
  <si>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</si>
  <si>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</si>
  <si>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</si>
  <si>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</si>
  <si>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</si>
  <si>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</si>
  <si>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</si>
  <si>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</si>
  <si>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</si>
  <si>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</si>
  <si>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</si>
  <si>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</si>
  <si>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</si>
  <si>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</si>
  <si>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</si>
  <si>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</si>
  <si>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</si>
  <si>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</si>
  <si>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</si>
  <si>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</si>
  <si>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</si>
  <si>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</si>
  <si>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</si>
  <si>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</si>
  <si>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</si>
  <si>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</si>
  <si>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</si>
  <si>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</si>
  <si>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</si>
  <si>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</si>
  <si>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</si>
  <si>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</si>
  <si>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</si>
  <si>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</si>
  <si>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</si>
  <si>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</si>
  <si>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</si>
  <si>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</si>
  <si>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</si>
  <si>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</si>
  <si>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</si>
  <si>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</si>
  <si>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</si>
  <si>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</si>
  <si>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</si>
  <si>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</si>
  <si>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</si>
  <si>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</si>
  <si>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</si>
  <si>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</si>
  <si>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</si>
  <si>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</si>
  <si>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</si>
  <si>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</si>
  <si>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</si>
  <si>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</si>
  <si>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</si>
  <si>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</si>
  <si>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</si>
  <si>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</si>
  <si>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</si>
  <si>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</si>
  <si>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</si>
  <si>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</si>
  <si>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</si>
  <si>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</si>
  <si>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</si>
  <si>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</si>
  <si>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</si>
  <si>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</si>
  <si>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</si>
  <si>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</si>
  <si>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</si>
  <si>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</si>
  <si>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</si>
  <si>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</si>
  <si>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</si>
  <si>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</si>
  <si>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</si>
  <si>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</si>
  <si>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</si>
  <si>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</si>
  <si>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</si>
  <si>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</si>
  <si>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</si>
  <si>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</si>
  <si>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</si>
  <si>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</si>
  <si>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</si>
  <si>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</si>
  <si>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</si>
  <si>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</si>
  <si>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</si>
  <si>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</si>
  <si>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</si>
  <si>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</si>
  <si>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</si>
  <si>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</si>
  <si>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</si>
  <si>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</si>
  <si>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</si>
  <si>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</si>
  <si>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</si>
  <si>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</si>
  <si>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</si>
  <si>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</si>
  <si>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</si>
  <si>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</si>
  <si>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</si>
  <si>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</si>
  <si>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</si>
  <si>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</si>
  <si>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</si>
  <si>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</si>
  <si>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</si>
  <si>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</si>
  <si>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</si>
  <si>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</si>
  <si>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</si>
  <si>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</si>
  <si>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</si>
  <si>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</si>
  <si>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</si>
  <si>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</si>
  <si>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</si>
  <si>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</si>
  <si>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</si>
  <si>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</si>
  <si>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</si>
  <si>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</si>
  <si>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</si>
  <si>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</si>
  <si>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</si>
  <si>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</si>
  <si>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</si>
  <si>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</si>
  <si>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</si>
  <si>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</si>
  <si>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</si>
  <si>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</si>
  <si>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</si>
  <si>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</si>
  <si>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</si>
  <si>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</si>
  <si>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</si>
  <si>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</si>
  <si>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</si>
  <si>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</si>
  <si>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</si>
  <si>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</si>
  <si>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</si>
  <si>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</si>
  <si>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</si>
  <si>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</si>
  <si>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</si>
  <si>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</si>
  <si>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</si>
  <si>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</si>
  <si>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</si>
  <si>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</si>
  <si>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</si>
  <si>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</si>
  <si>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</si>
  <si>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</si>
  <si>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</si>
  <si>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</si>
  <si>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</si>
  <si>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</si>
  <si>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</si>
  <si>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</si>
  <si>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</si>
  <si>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</si>
  <si>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</si>
  <si>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</si>
  <si>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</si>
  <si>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</si>
  <si>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</si>
  <si>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</si>
  <si>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</si>
  <si>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</si>
  <si>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</si>
  <si>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</si>
  <si>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</si>
  <si>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</si>
  <si>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</si>
  <si>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</si>
  <si>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</si>
  <si>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</si>
  <si>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</si>
  <si>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</si>
  <si>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</si>
  <si>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</si>
  <si>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</si>
  <si>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</si>
  <si>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</si>
  <si>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</si>
  <si>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</si>
  <si>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</si>
  <si>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</si>
  <si>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</si>
  <si>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</si>
  <si>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</si>
  <si>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</si>
  <si>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</si>
  <si>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</si>
  <si>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</si>
  <si>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</si>
  <si>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</si>
  <si>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</si>
  <si>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</si>
  <si>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</si>
  <si>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</si>
  <si>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</si>
  <si>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</si>
  <si>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</si>
  <si>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</si>
  <si>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</si>
  <si>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</si>
  <si>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</si>
  <si>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</si>
  <si>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</si>
  <si>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</si>
  <si>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</si>
  <si>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</si>
  <si>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</si>
  <si>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</si>
  <si>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</si>
  <si>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</si>
  <si>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</si>
  <si>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</si>
  <si>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</si>
  <si>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</si>
  <si>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</si>
  <si>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</si>
  <si>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</si>
  <si>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</si>
  <si>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</si>
  <si>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</si>
  <si>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</si>
  <si>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</si>
  <si>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</si>
  <si>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</si>
  <si>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</si>
  <si>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</si>
  <si>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</si>
  <si>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</si>
  <si>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</si>
  <si>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</si>
  <si>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</si>
  <si>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</si>
  <si>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</si>
  <si>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</si>
  <si>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</si>
  <si>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</si>
  <si>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</si>
  <si>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</si>
  <si>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</si>
  <si>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</si>
  <si>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</si>
  <si>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</si>
  <si>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</si>
  <si>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</si>
  <si>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</si>
  <si>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</si>
  <si>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</si>
  <si>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</si>
  <si>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</si>
  <si>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</si>
  <si>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</si>
  <si>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</si>
  <si>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</si>
  <si>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</si>
  <si>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</si>
  <si>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</si>
  <si>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</si>
  <si>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</si>
  <si>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</si>
  <si>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</si>
  <si>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</si>
  <si>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</si>
  <si>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</si>
  <si>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</si>
  <si>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</si>
  <si>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</si>
  <si>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</si>
  <si>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</si>
  <si>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</si>
  <si>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</si>
  <si>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</si>
  <si>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</si>
  <si>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</si>
  <si>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</si>
  <si>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</si>
  <si>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</si>
  <si>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</si>
  <si>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</si>
  <si>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</si>
  <si>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</si>
  <si>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</si>
  <si>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</si>
  <si>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</si>
  <si>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</si>
  <si>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</si>
  <si>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</si>
  <si>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</si>
  <si>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</si>
  <si>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</si>
  <si>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</si>
  <si>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</si>
  <si>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</si>
  <si>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</si>
  <si>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</si>
  <si>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</si>
  <si>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</si>
  <si>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</si>
  <si>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</si>
  <si>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</si>
  <si>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</si>
  <si>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</si>
  <si>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</si>
  <si>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</si>
  <si>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</si>
  <si>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</si>
  <si>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</si>
  <si>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</si>
  <si>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</si>
  <si>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</si>
  <si>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</si>
  <si>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</si>
  <si>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</si>
  <si>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</si>
  <si>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</si>
  <si>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</si>
  <si>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</si>
  <si>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</si>
  <si>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</si>
  <si>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</si>
  <si>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</si>
  <si>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</si>
  <si>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</si>
  <si>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</si>
  <si>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</si>
  <si>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</si>
  <si>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</si>
  <si>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</si>
  <si>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</si>
  <si>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</si>
  <si>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</si>
  <si>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</si>
  <si>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</si>
  <si>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</si>
  <si>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</si>
  <si>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</si>
  <si>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</si>
  <si>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</si>
  <si>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</si>
  <si>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</si>
  <si>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</si>
  <si>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</si>
  <si>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</si>
  <si>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</si>
  <si>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</si>
  <si>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</si>
  <si>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</si>
  <si>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</si>
  <si>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</si>
  <si>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</si>
  <si>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</si>
  <si>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</si>
  <si>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</si>
  <si>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</si>
  <si>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</si>
  <si>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</si>
  <si>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</si>
  <si>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</si>
  <si>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</si>
  <si>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</si>
  <si>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</si>
  <si>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</si>
  <si>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</si>
  <si>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</si>
  <si>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</si>
  <si>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</si>
  <si>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</si>
  <si>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</si>
  <si>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</si>
  <si>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</si>
  <si>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</si>
  <si>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</si>
  <si>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</si>
  <si>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</si>
  <si>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</si>
  <si>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</si>
  <si>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</si>
  <si>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</si>
  <si>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</si>
  <si>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</si>
  <si>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</si>
  <si>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</si>
  <si>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</si>
  <si>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</si>
  <si>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</si>
  <si>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</si>
  <si>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</si>
  <si>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</si>
  <si>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</si>
  <si>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</si>
  <si>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</si>
  <si>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</si>
  <si>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</si>
  <si>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</si>
  <si>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</si>
  <si>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</si>
  <si>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</si>
  <si>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</si>
  <si>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</si>
  <si>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</si>
  <si>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</si>
  <si>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</si>
  <si>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</si>
  <si>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</si>
  <si>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</si>
  <si>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</si>
  <si>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</si>
  <si>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</si>
  <si>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</si>
  <si>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</si>
  <si>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</si>
  <si>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</si>
  <si>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</si>
  <si>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</si>
  <si>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</si>
  <si>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</si>
  <si>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</si>
  <si>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</si>
  <si>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</si>
  <si>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</si>
  <si>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</si>
  <si>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</si>
  <si>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</si>
  <si>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</si>
  <si>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</si>
  <si>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</si>
  <si>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</si>
  <si>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</si>
  <si>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</si>
  <si>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</si>
  <si>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</si>
  <si>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</si>
  <si>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</si>
  <si>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</si>
  <si>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</si>
  <si>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</si>
  <si>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</si>
  <si>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</si>
  <si>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</si>
  <si>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</si>
  <si>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</si>
  <si>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</si>
  <si>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</si>
  <si>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</si>
  <si>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</si>
  <si>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</si>
  <si>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</si>
  <si>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</si>
  <si>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</si>
  <si>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</si>
  <si>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</si>
  <si>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</si>
  <si>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</si>
  <si>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</si>
  <si>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</si>
  <si>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</si>
  <si>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</si>
  <si>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</si>
  <si>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</si>
  <si>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</si>
  <si>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</si>
  <si>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</si>
  <si>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</si>
  <si>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</si>
  <si>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</si>
  <si>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</si>
  <si>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</si>
  <si>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</si>
  <si>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</si>
  <si>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</si>
  <si>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</si>
  <si>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</si>
  <si>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</si>
  <si>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</si>
  <si>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</si>
  <si>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</si>
  <si>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</si>
  <si>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</si>
  <si>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</si>
  <si>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</si>
  <si>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</si>
  <si>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</si>
  <si>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</si>
  <si>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</si>
  <si>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</si>
  <si>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</si>
  <si>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</si>
  <si>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</si>
  <si>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</si>
  <si>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</si>
  <si>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</si>
  <si>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</si>
  <si>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</si>
  <si>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</si>
  <si>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</si>
  <si>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</si>
  <si>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</si>
  <si>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</si>
  <si>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</si>
  <si>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</si>
  <si>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</si>
  <si>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</si>
  <si>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</si>
  <si>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</si>
  <si>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</si>
  <si>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</si>
  <si>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</si>
  <si>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</si>
  <si>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</si>
  <si>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</si>
  <si>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</si>
  <si>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</si>
  <si>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</si>
  <si>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</si>
  <si>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</si>
  <si>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</si>
  <si>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</si>
  <si>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</si>
  <si>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</si>
  <si>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</si>
  <si>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</si>
  <si>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</si>
  <si>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</si>
  <si>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</si>
  <si>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</si>
  <si>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</si>
  <si>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</si>
  <si>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</si>
  <si>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</si>
  <si>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</si>
  <si>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</si>
  <si>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</si>
  <si>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</si>
  <si>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</si>
  <si>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</si>
  <si>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</si>
  <si>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</si>
  <si>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</si>
  <si>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</si>
  <si>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</si>
  <si>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</si>
  <si>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</si>
  <si>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</si>
  <si>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</si>
  <si>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</si>
  <si>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</si>
  <si>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</si>
  <si>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</si>
  <si>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</si>
  <si>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</si>
  <si>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</si>
  <si>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</si>
  <si>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</si>
  <si>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</si>
  <si>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</si>
  <si>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</si>
  <si>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</si>
  <si>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</si>
  <si>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</si>
  <si>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</si>
  <si>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</si>
  <si>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</si>
  <si>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</si>
  <si>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</si>
  <si>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</si>
  <si>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</si>
  <si>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</si>
  <si>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</si>
  <si>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</si>
  <si>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</si>
  <si>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</si>
  <si>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</si>
  <si>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</si>
  <si>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</si>
  <si>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</si>
  <si>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</si>
  <si>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</si>
  <si>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</si>
  <si>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</si>
  <si>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</si>
  <si>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</si>
  <si>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</si>
  <si>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</si>
  <si>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</si>
  <si>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</si>
  <si>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</si>
  <si>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</si>
  <si>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</si>
  <si>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</si>
  <si>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</si>
  <si>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</si>
  <si>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</si>
  <si>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</si>
  <si>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</si>
  <si>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</si>
  <si>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</si>
  <si>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</si>
  <si>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</si>
  <si>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</si>
  <si>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</si>
  <si>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</si>
  <si>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</si>
  <si>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</si>
  <si>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</si>
  <si>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</si>
  <si>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</si>
  <si>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</si>
  <si>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</si>
  <si>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</si>
  <si>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</si>
  <si>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</si>
  <si>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</si>
  <si>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</si>
  <si>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</si>
  <si>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</si>
  <si>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</si>
  <si>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</si>
  <si>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</si>
  <si>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</si>
  <si>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</si>
  <si>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</si>
  <si>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</si>
  <si>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</si>
  <si>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</si>
  <si>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</si>
  <si>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</si>
  <si>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</si>
  <si>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</si>
  <si>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</si>
  <si>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</si>
  <si>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</si>
  <si>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</si>
  <si>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</si>
  <si>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</si>
  <si>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</si>
  <si>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</si>
  <si>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</si>
  <si>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</si>
  <si>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</si>
  <si>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</si>
  <si>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</si>
  <si>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</si>
  <si>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</si>
  <si>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</si>
  <si>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</si>
  <si>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</si>
  <si>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</si>
  <si>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</si>
  <si>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</si>
  <si>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</si>
  <si>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</si>
  <si>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</si>
  <si>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</si>
  <si>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</si>
  <si>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</si>
  <si>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</si>
  <si>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</si>
  <si>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</si>
  <si>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</si>
  <si>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</si>
  <si>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</si>
  <si>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</si>
  <si>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</si>
  <si>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</si>
  <si>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</si>
  <si>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</si>
  <si>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</si>
  <si>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</si>
  <si>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</si>
  <si>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</si>
  <si>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</si>
  <si>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</si>
  <si>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</si>
  <si>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</si>
  <si>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</si>
  <si>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</si>
  <si>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</si>
  <si>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</si>
  <si>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</si>
  <si>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</si>
  <si>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</si>
  <si>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</si>
  <si>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</si>
  <si>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</si>
  <si>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</si>
  <si>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</si>
  <si>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</si>
  <si>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</si>
  <si>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</si>
  <si>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</si>
  <si>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</si>
  <si>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</si>
  <si>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</si>
  <si>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</si>
  <si>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</si>
  <si>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</si>
  <si>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</si>
  <si>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</si>
  <si>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</si>
  <si>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</si>
  <si>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</si>
  <si>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</si>
  <si>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</si>
  <si>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</si>
  <si>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</si>
  <si>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</si>
  <si>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</si>
  <si>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</si>
  <si>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</si>
  <si>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</si>
  <si>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</si>
  <si>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</si>
  <si>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</si>
  <si>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</si>
  <si>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</si>
  <si>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</si>
  <si>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</si>
  <si>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</si>
  <si>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</si>
  <si>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</si>
  <si>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</si>
  <si>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</si>
  <si>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</si>
  <si>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</si>
  <si>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</si>
  <si>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</si>
  <si>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</si>
  <si>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</si>
  <si>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</si>
  <si>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</si>
  <si>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</si>
  <si>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</si>
  <si>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</si>
  <si>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</si>
  <si>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</si>
  <si>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</si>
  <si>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</si>
  <si>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</si>
  <si>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</si>
  <si>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</si>
  <si>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</si>
  <si>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</si>
  <si>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</si>
  <si>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</si>
  <si>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</si>
  <si>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</si>
  <si>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</si>
  <si>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</si>
  <si>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</si>
  <si>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</si>
  <si>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</si>
  <si>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</si>
  <si>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</si>
  <si>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</si>
  <si>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</si>
  <si>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</si>
  <si>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</si>
  <si>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</si>
  <si>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</si>
  <si>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</si>
  <si>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</si>
  <si>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</si>
  <si>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</si>
  <si>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</si>
  <si>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</si>
  <si>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</si>
  <si>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</si>
  <si>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</si>
  <si>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</si>
  <si>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</si>
  <si>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</si>
  <si>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</si>
  <si>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</si>
  <si>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</si>
  <si>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</si>
  <si>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</si>
  <si>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</si>
  <si>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</si>
  <si>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</si>
  <si>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</si>
  <si>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</si>
  <si>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</si>
  <si>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</si>
  <si>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</si>
  <si>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</si>
  <si>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</si>
  <si>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</si>
  <si>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</si>
  <si>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</si>
  <si>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</si>
  <si>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</si>
  <si>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</si>
  <si>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</si>
  <si>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</si>
  <si>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</si>
  <si>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</si>
  <si>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</si>
  <si>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</si>
  <si>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</si>
  <si>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</si>
  <si>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</si>
  <si>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</si>
  <si>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</si>
  <si>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</si>
  <si>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</si>
  <si>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</si>
  <si>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</si>
  <si>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</si>
  <si>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</si>
  <si>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</si>
  <si>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</si>
  <si>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</si>
  <si>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</si>
  <si>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</si>
  <si>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</si>
  <si>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</si>
  <si>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</si>
  <si>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</si>
  <si>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</si>
  <si>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</si>
  <si>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</si>
  <si>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</si>
  <si>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</si>
  <si>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</si>
  <si>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</si>
  <si>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</si>
  <si>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</si>
  <si>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</si>
  <si>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</si>
  <si>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</si>
  <si>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</si>
  <si>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</si>
  <si>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</si>
  <si>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</si>
  <si>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</si>
  <si>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</si>
  <si>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</si>
  <si>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</si>
  <si>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</si>
  <si>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</si>
  <si>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</si>
  <si>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</si>
  <si>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</si>
  <si>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</si>
  <si>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</si>
  <si>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</si>
  <si>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</si>
  <si>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</si>
  <si>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</si>
  <si>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</si>
  <si>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</si>
  <si>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</si>
  <si>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</si>
  <si>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</si>
  <si>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</si>
  <si>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</si>
  <si>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</si>
  <si>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</si>
  <si>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</si>
  <si>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</si>
  <si>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</si>
  <si>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</si>
  <si>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</si>
  <si>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</si>
  <si>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</si>
  <si>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</si>
  <si>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</si>
  <si>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</si>
  <si>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</si>
  <si>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</si>
  <si>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</si>
  <si>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</si>
  <si>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</si>
  <si>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</si>
  <si>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</si>
  <si>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</si>
  <si>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</si>
  <si>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</si>
  <si>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</si>
  <si>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</si>
  <si>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</si>
  <si>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</si>
  <si>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</si>
  <si>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</si>
  <si>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</si>
  <si>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</si>
  <si>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</si>
  <si>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</si>
  <si>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</si>
  <si>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</si>
  <si>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</si>
  <si>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</si>
  <si>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</si>
  <si>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</si>
  <si>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</si>
  <si>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</si>
  <si>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</si>
  <si>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</si>
  <si>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</si>
  <si>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</si>
  <si>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</si>
  <si>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</si>
  <si>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</si>
  <si>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</si>
  <si>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</si>
  <si>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</si>
  <si>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</si>
  <si>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</si>
  <si>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</si>
  <si>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</si>
  <si>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</si>
  <si>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</si>
  <si>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</si>
  <si>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</si>
  <si>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</si>
  <si>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</si>
  <si>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</si>
  <si>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</si>
  <si>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</si>
  <si>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</si>
  <si>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</si>
  <si>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</si>
  <si>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</si>
  <si>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</si>
  <si>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</si>
  <si>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</si>
  <si>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</si>
  <si>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</si>
  <si>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</si>
  <si>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</si>
  <si>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</si>
  <si>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</si>
  <si>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</si>
  <si>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</si>
  <si>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</si>
  <si>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</si>
  <si>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</si>
  <si>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</si>
  <si>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</si>
  <si>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</si>
  <si>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</si>
  <si>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</si>
  <si>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</si>
  <si>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</si>
  <si>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</si>
  <si>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</si>
  <si>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</si>
  <si>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</si>
  <si>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</si>
  <si>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</si>
  <si>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</si>
  <si>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</si>
  <si>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</si>
  <si>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</si>
  <si>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</si>
  <si>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</si>
  <si>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</si>
  <si>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</si>
  <si>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Jodi Yamasaki</t>
  </si>
  <si>
    <t>LW</t>
  </si>
  <si>
    <t>Department of Parks &amp; Recreation</t>
  </si>
  <si>
    <t>21-069</t>
  </si>
  <si>
    <t>EM</t>
  </si>
  <si>
    <t>*Denise Antolini, Malama Pupukea-Waimea</t>
  </si>
  <si>
    <t>AW/LW</t>
  </si>
  <si>
    <t>*Jahan Byrne, City of Honolulu Accountability Project (CHAP)</t>
  </si>
  <si>
    <t>Dawn Takeuchi Apuna, Department of Planning and Permitting</t>
  </si>
  <si>
    <t>*Lynn Kawano, Hawaii News Now</t>
  </si>
  <si>
    <t>AW/JKY</t>
  </si>
  <si>
    <t>*Ashley Mizuo, Honolulu Star Advertiser</t>
  </si>
  <si>
    <t>AW/LW/JN</t>
  </si>
  <si>
    <t>*Rick Daysog, Hawaii News Now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</si>
</sst>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9" zoomScale="70" zoomScaleNormal="70" zoomScaleSheetLayoutView="30" zoomScalePageLayoutView="50" workbookViewId="0">
      <selection activeCell="V19" sqref="V19"/>
    </sheetView>
  </sheetViews>
  <sheetFormatPr defaultColWidth="9.140625" defaultRowHeight="15" x14ac:dyDescent="0.25"/>
  <cols>
    <col min="1" max="1" width="35.7109375" style="1" customWidth="1"/>
    <col min="2" max="2" width="50.28515625" style="1" customWidth="1"/>
    <col min="3" max="3" width="15.85546875" style="15" customWidth="1"/>
    <col min="4" max="4" width="75.28515625" style="2" bestFit="1"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3242</v>
      </c>
      <c r="B3" s="310" t="s">
        <v>3243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CC_HONOLULU_ETHICS_COMMISSION</v>
      </c>
      <c r="B10" s="636" t="str">
        <f>B3</f>
        <v>CC HONOLULU/ ETHICS COMMISSION</v>
      </c>
      <c r="C10" s="557">
        <f>COUNTA(D12:D1011)</f>
        <v>10</v>
      </c>
      <c r="D10" s="558">
        <f>COUNTIF(D12:D1011,"*~**")</f>
        <v>5</v>
      </c>
      <c r="E10" s="559"/>
      <c r="F10" s="560">
        <f>COUNTIF(F12:F1011,"x")</f>
        <v>2</v>
      </c>
      <c r="G10" s="561">
        <f>COUNTA(G12:G1011)-(COUNTA(G12:G1011)-COUNT(G12:G1011))</f>
        <v>10</v>
      </c>
      <c r="H10" s="561">
        <f>COUNTA(H12:H1011)-(COUNTA(H12:H1011)-COUNT(H12:H1011))</f>
        <v>10</v>
      </c>
      <c r="I10" s="562">
        <f>COUNTIF(I12:I1011,"x")</f>
        <v>10</v>
      </c>
      <c r="J10" s="563">
        <f>COUNTIF(J12:J1011,"x")</f>
        <v>2</v>
      </c>
      <c r="K10" s="564">
        <f>COUNTIF(K12:K1011,"x")</f>
        <v>0</v>
      </c>
      <c r="L10" s="565">
        <f>COUNTIF(L12:L1011,"x")</f>
        <v>0</v>
      </c>
      <c r="M10" s="564">
        <f>COUNTA(M12:M1011)</f>
        <v>10</v>
      </c>
      <c r="N10" s="566">
        <f>SUM(AW12:AW1011)</f>
        <v>140</v>
      </c>
      <c r="O10" s="567">
        <f t="shared" ref="O10:U10" si="10">COUNTIF(O12:O1011,"x")</f>
        <v>4</v>
      </c>
      <c r="P10" s="567">
        <f t="shared" si="10"/>
        <v>1</v>
      </c>
      <c r="Q10" s="567">
        <f t="shared" si="10"/>
        <v>3</v>
      </c>
      <c r="R10" s="567">
        <f t="shared" si="10"/>
        <v>0</v>
      </c>
      <c r="S10" s="567">
        <f>COUNTIF(S12:S1011,"x")</f>
        <v>0</v>
      </c>
      <c r="T10" s="567">
        <f t="shared" si="10"/>
        <v>2</v>
      </c>
      <c r="U10" s="568">
        <f t="shared" si="10"/>
        <v>0</v>
      </c>
      <c r="V10" s="569">
        <f>SUM(V12:V1011)</f>
        <v>8.25</v>
      </c>
      <c r="W10" s="570">
        <f t="shared" ref="W10:AA10" si="11">SUM(W12:W1011)</f>
        <v>3</v>
      </c>
      <c r="X10" s="571">
        <f t="shared" si="11"/>
        <v>0</v>
      </c>
      <c r="Y10" s="571">
        <f>SUM(Y12:Y1011)</f>
        <v>11.25</v>
      </c>
      <c r="Z10" s="572">
        <f t="shared" si="11"/>
        <v>137.5</v>
      </c>
      <c r="AA10" s="573">
        <f t="shared" si="11"/>
        <v>0</v>
      </c>
      <c r="AB10" s="574">
        <f>COUNTIFS(AB12:AB1011,-30,Z12:Z1011,"&gt;0")</f>
        <v>4</v>
      </c>
      <c r="AC10" s="575">
        <f>COUNTIFS(AC12:AC1011,"x",Z12:Z1011,"&gt;0")</f>
        <v>2</v>
      </c>
      <c r="AD10" s="572">
        <f>SUMIF(AD12:AD1011,"&lt;0")</f>
        <v>-5</v>
      </c>
      <c r="AE10" s="576">
        <f>SUMIFS(AE12:AE1011,AE12:AE1011,"&gt;0",Z12:Z1011,"&gt;0")</f>
        <v>10</v>
      </c>
      <c r="AF10" s="577">
        <f t="shared" ref="AF10:BH10" si="12">SUMIF(AF12:AF1011,"&gt;0")</f>
        <v>0</v>
      </c>
      <c r="AG10" s="578">
        <f t="shared" si="12"/>
        <v>0</v>
      </c>
      <c r="AH10" s="577">
        <f t="shared" si="12"/>
        <v>0</v>
      </c>
      <c r="AI10" s="579">
        <f t="shared" si="12"/>
        <v>10</v>
      </c>
      <c r="AJ10" s="579">
        <f t="shared" si="12"/>
        <v>137.5</v>
      </c>
      <c r="AK10" s="578">
        <f t="shared" si="12"/>
        <v>137.5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140</v>
      </c>
      <c r="AX10" s="581">
        <f t="shared" si="12"/>
        <v>0</v>
      </c>
      <c r="AY10" s="581">
        <f t="shared" si="12"/>
        <v>116</v>
      </c>
      <c r="AZ10" s="582">
        <f t="shared" si="12"/>
        <v>24</v>
      </c>
      <c r="BA10" s="583">
        <f t="shared" si="12"/>
        <v>8.25</v>
      </c>
      <c r="BB10" s="584">
        <f>SUMIF(BB12:BB1011,"&gt;0")</f>
        <v>0</v>
      </c>
      <c r="BC10" s="584">
        <f t="shared" si="12"/>
        <v>7.75</v>
      </c>
      <c r="BD10" s="585">
        <f t="shared" si="12"/>
        <v>0.5</v>
      </c>
      <c r="BE10" s="586">
        <f t="shared" si="12"/>
        <v>3</v>
      </c>
      <c r="BF10" s="584">
        <f t="shared" si="12"/>
        <v>0</v>
      </c>
      <c r="BG10" s="584">
        <f t="shared" si="12"/>
        <v>3</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14</v>
      </c>
      <c r="O11" s="228"/>
      <c r="P11" s="228"/>
      <c r="Q11" s="228"/>
      <c r="R11" s="228"/>
      <c r="S11" s="228"/>
      <c r="T11" s="228"/>
      <c r="U11" s="229"/>
      <c r="V11" s="387">
        <f t="shared" ref="V11:AA11" si="14">AVERAGEIF(V12:V1011,"&lt;&gt;0")</f>
        <v>1.03125</v>
      </c>
      <c r="W11" s="387">
        <f t="shared" si="14"/>
        <v>3</v>
      </c>
      <c r="X11" s="387" t="e">
        <f t="shared" si="14"/>
        <v>#DIV/0!</v>
      </c>
      <c r="Y11" s="387">
        <f t="shared" si="14"/>
        <v>1.40625</v>
      </c>
      <c r="Z11" s="381">
        <f>AVERAGEIF(Z12:Z1011,"&lt;&gt;0")</f>
        <v>22.916666666666668</v>
      </c>
      <c r="AA11" s="381" t="e">
        <f t="shared" si="14"/>
        <v>#DIV/0!</v>
      </c>
      <c r="AB11" s="388"/>
      <c r="AC11" s="387"/>
      <c r="AD11" s="379">
        <f>AVERAGEIF(AD12:AD1011,"&lt;0")</f>
        <v>-2.5</v>
      </c>
      <c r="AE11" s="427">
        <f>AVERAGEIFS(AE12:AE1011,AE12:AE1011,"&gt;0",Z12:Z1011,"&gt;0")</f>
        <v>10</v>
      </c>
      <c r="AF11" s="230" t="e">
        <f t="shared" ref="AF11:BH11" si="15">AVERAGEIF(AF12:AF1011,"&gt;0")</f>
        <v>#DIV/0!</v>
      </c>
      <c r="AG11" s="231" t="e">
        <f t="shared" si="15"/>
        <v>#DIV/0!</v>
      </c>
      <c r="AH11" s="232" t="e">
        <f t="shared" si="15"/>
        <v>#DIV/0!</v>
      </c>
      <c r="AI11" s="233">
        <f t="shared" si="15"/>
        <v>10</v>
      </c>
      <c r="AJ11" s="233">
        <f t="shared" si="15"/>
        <v>22.916666666666668</v>
      </c>
      <c r="AK11" s="234">
        <f t="shared" si="15"/>
        <v>22.916666666666668</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14</v>
      </c>
      <c r="AX11" s="235" t="e">
        <f t="shared" si="15"/>
        <v>#DIV/0!</v>
      </c>
      <c r="AY11" s="235">
        <f t="shared" si="15"/>
        <v>14.5</v>
      </c>
      <c r="AZ11" s="390">
        <f t="shared" si="15"/>
        <v>12</v>
      </c>
      <c r="BA11" s="389">
        <f t="shared" si="15"/>
        <v>1.03125</v>
      </c>
      <c r="BB11" s="235" t="e">
        <f t="shared" si="15"/>
        <v>#DIV/0!</v>
      </c>
      <c r="BC11" s="235">
        <f t="shared" si="15"/>
        <v>1.2916666666666667</v>
      </c>
      <c r="BD11" s="390">
        <f t="shared" si="15"/>
        <v>0.25</v>
      </c>
      <c r="BE11" s="389">
        <f t="shared" si="15"/>
        <v>3</v>
      </c>
      <c r="BF11" s="235" t="e">
        <f t="shared" si="15"/>
        <v>#DIV/0!</v>
      </c>
      <c r="BG11" s="391">
        <f t="shared" si="15"/>
        <v>3</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t="s">
        <v>2635</v>
      </c>
      <c r="F12" s="34"/>
      <c r="G12" s="131">
        <v>44046</v>
      </c>
      <c r="H12" s="136">
        <v>44055</v>
      </c>
      <c r="I12" s="140" t="s">
        <v>0</v>
      </c>
      <c r="J12" s="78" t="s">
        <v>0</v>
      </c>
      <c r="K12" s="144"/>
      <c r="L12" s="119"/>
      <c r="M12" s="394">
        <v>44085</v>
      </c>
      <c r="N12" s="158">
        <f>IF((NETWORKDAYS(G12,M12)&gt;0),(NETWORKDAYS(G12,M12)),"")</f>
        <v>30</v>
      </c>
      <c r="O12" s="311"/>
      <c r="P12" s="311"/>
      <c r="Q12" s="311"/>
      <c r="R12" s="311"/>
      <c r="S12" s="311"/>
      <c r="T12" s="311" t="s">
        <v>0</v>
      </c>
      <c r="U12" s="312"/>
      <c r="V12" s="181">
        <v>0</v>
      </c>
      <c r="W12" s="313">
        <v>0</v>
      </c>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v>0</v>
      </c>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30</v>
      </c>
      <c r="AX12" s="165" t="str">
        <f t="shared" ref="AX12:AX75" si="23">IF(AND(K12="x",AW12&gt;0),AW12,"")</f>
        <v/>
      </c>
      <c r="AY12" s="192">
        <f t="shared" ref="AY12:AY75" si="24">IF(OR(K12="x",F12="x",AW12&lt;=0),"",AW12)</f>
        <v>30</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3469</v>
      </c>
      <c r="E13" s="81" t="s">
        <v>3467</v>
      </c>
      <c r="F13" s="34" t="s">
        <v>0</v>
      </c>
      <c r="G13" s="131">
        <v>44076</v>
      </c>
      <c r="H13" s="132">
        <v>44091</v>
      </c>
      <c r="I13" s="140" t="s">
        <v>0</v>
      </c>
      <c r="J13" s="78"/>
      <c r="K13" s="144"/>
      <c r="L13" s="119"/>
      <c r="M13" s="395">
        <v>44091</v>
      </c>
      <c r="N13" s="158">
        <f t="shared" ref="N13:N76" si="33">IF((NETWORKDAYS(G13,M13)&gt;0),(NETWORKDAYS(G13,M13)),"")</f>
        <v>12</v>
      </c>
      <c r="O13" s="311"/>
      <c r="P13" s="311"/>
      <c r="Q13" s="311" t="s">
        <v>0</v>
      </c>
      <c r="R13" s="311"/>
      <c r="S13" s="311"/>
      <c r="T13" s="312"/>
      <c r="U13" s="314"/>
      <c r="V13" s="167">
        <v>0.25</v>
      </c>
      <c r="W13" s="313">
        <v>0</v>
      </c>
      <c r="X13" s="313"/>
      <c r="Y13" s="160">
        <f t="shared" si="17"/>
        <v>0.25</v>
      </c>
      <c r="Z13" s="159">
        <f t="shared" si="18"/>
        <v>0</v>
      </c>
      <c r="AA13" s="326"/>
      <c r="AB13" s="400">
        <f>IF(AND(Z13&gt;=0,F13="x"),0,IF(AND(Z13&gt;0,AC13="x"),0,IF(Z13&gt;0,0-30,0)))</f>
        <v>0</v>
      </c>
      <c r="AC13" s="370"/>
      <c r="AD13" s="226">
        <f t="shared" si="19"/>
        <v>-2.5</v>
      </c>
      <c r="AE13" s="368">
        <f t="shared" ref="AE13:AE76" si="34">IF(AND(Z13&gt;0,F13="x"),0,IF(AND(Z13&gt;0,AC13="x"),Z13-60,IF(AND(Z13&gt;0,AB13=-30),Z13+AB13,0)))</f>
        <v>0</v>
      </c>
      <c r="AF13" s="331"/>
      <c r="AG13" s="333"/>
      <c r="AH13" s="334">
        <v>0</v>
      </c>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12</v>
      </c>
      <c r="AX13" s="165" t="str">
        <f t="shared" si="23"/>
        <v/>
      </c>
      <c r="AY13" s="193" t="str">
        <f t="shared" si="24"/>
        <v/>
      </c>
      <c r="AZ13" s="183">
        <f t="shared" si="25"/>
        <v>12</v>
      </c>
      <c r="BA13" s="173">
        <f t="shared" si="26"/>
        <v>0.25</v>
      </c>
      <c r="BB13" s="174" t="str">
        <f t="shared" si="27"/>
        <v/>
      </c>
      <c r="BC13" s="186" t="str">
        <f>IF(OR(K13="x",F13="X",BA13&lt;=0),"",BA13)</f>
        <v/>
      </c>
      <c r="BD13" s="174">
        <f t="shared" si="28"/>
        <v>0.25</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t="s">
        <v>3467</v>
      </c>
      <c r="F14" s="34"/>
      <c r="G14" s="134">
        <v>44097</v>
      </c>
      <c r="H14" s="135">
        <v>44104</v>
      </c>
      <c r="I14" s="170" t="s">
        <v>0</v>
      </c>
      <c r="J14" s="171"/>
      <c r="K14" s="145"/>
      <c r="L14" s="28"/>
      <c r="M14" s="398">
        <v>44104</v>
      </c>
      <c r="N14" s="158">
        <f t="shared" si="33"/>
        <v>6</v>
      </c>
      <c r="O14" s="311" t="s">
        <v>0</v>
      </c>
      <c r="P14" s="311"/>
      <c r="Q14" s="311"/>
      <c r="R14" s="311"/>
      <c r="S14" s="311"/>
      <c r="T14" s="312"/>
      <c r="U14" s="314"/>
      <c r="V14" s="167">
        <v>0.25</v>
      </c>
      <c r="W14" s="313">
        <v>0</v>
      </c>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v>0</v>
      </c>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6</v>
      </c>
      <c r="AX14" s="165" t="str">
        <f t="shared" si="23"/>
        <v/>
      </c>
      <c r="AY14" s="193">
        <f t="shared" si="24"/>
        <v>6</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3470</v>
      </c>
      <c r="E15" s="33" t="s">
        <v>3467</v>
      </c>
      <c r="F15" s="34" t="s">
        <v>0</v>
      </c>
      <c r="G15" s="134">
        <v>44126</v>
      </c>
      <c r="H15" s="135">
        <v>44141</v>
      </c>
      <c r="I15" s="142" t="s">
        <v>0</v>
      </c>
      <c r="J15" s="79"/>
      <c r="K15" s="145"/>
      <c r="L15" s="172"/>
      <c r="M15" s="395">
        <v>44141</v>
      </c>
      <c r="N15" s="158">
        <f t="shared" si="33"/>
        <v>12</v>
      </c>
      <c r="O15" s="315"/>
      <c r="P15" s="315"/>
      <c r="Q15" s="315" t="s">
        <v>0</v>
      </c>
      <c r="R15" s="315"/>
      <c r="S15" s="315"/>
      <c r="T15" s="316"/>
      <c r="U15" s="317"/>
      <c r="V15" s="167">
        <v>0.25</v>
      </c>
      <c r="W15" s="313">
        <v>0</v>
      </c>
      <c r="X15" s="313"/>
      <c r="Y15" s="160">
        <f t="shared" si="17"/>
        <v>0.25</v>
      </c>
      <c r="Z15" s="159">
        <f t="shared" si="18"/>
        <v>0</v>
      </c>
      <c r="AA15" s="326"/>
      <c r="AB15" s="400">
        <f t="shared" si="41"/>
        <v>0</v>
      </c>
      <c r="AC15" s="370"/>
      <c r="AD15" s="226">
        <f t="shared" si="19"/>
        <v>-2.5</v>
      </c>
      <c r="AE15" s="368">
        <f t="shared" si="34"/>
        <v>0</v>
      </c>
      <c r="AF15" s="331"/>
      <c r="AG15" s="333"/>
      <c r="AH15" s="334">
        <v>0</v>
      </c>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12</v>
      </c>
      <c r="AX15" s="165" t="str">
        <f t="shared" si="23"/>
        <v/>
      </c>
      <c r="AY15" s="193" t="str">
        <f t="shared" si="24"/>
        <v/>
      </c>
      <c r="AZ15" s="183">
        <f t="shared" si="25"/>
        <v>12</v>
      </c>
      <c r="BA15" s="173">
        <f t="shared" si="26"/>
        <v>0.25</v>
      </c>
      <c r="BB15" s="174" t="str">
        <f t="shared" si="27"/>
        <v/>
      </c>
      <c r="BC15" s="186" t="str">
        <f>IF(OR(K15="x",F15="X",BA15&lt;=0),"",BA15)</f>
        <v/>
      </c>
      <c r="BD15" s="174">
        <f t="shared" si="28"/>
        <v>0.25</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3471</v>
      </c>
      <c r="E16" s="16" t="s">
        <v>3472</v>
      </c>
      <c r="F16" s="17"/>
      <c r="G16" s="131">
        <v>44182</v>
      </c>
      <c r="H16" s="136">
        <v>44200</v>
      </c>
      <c r="I16" s="140" t="s">
        <v>0</v>
      </c>
      <c r="J16" s="78"/>
      <c r="K16" s="146"/>
      <c r="L16" s="120"/>
      <c r="M16" s="394">
        <v>44200</v>
      </c>
      <c r="N16" s="158">
        <f t="shared" si="33"/>
        <v>13</v>
      </c>
      <c r="O16" s="27" t="s">
        <v>0</v>
      </c>
      <c r="P16" s="27"/>
      <c r="Q16" s="27"/>
      <c r="R16" s="27"/>
      <c r="S16" s="27"/>
      <c r="T16" s="28"/>
      <c r="U16" s="29"/>
      <c r="V16" s="167">
        <v>0.5</v>
      </c>
      <c r="W16" s="313">
        <v>0</v>
      </c>
      <c r="X16" s="313"/>
      <c r="Y16" s="160">
        <f t="shared" si="17"/>
        <v>0.5</v>
      </c>
      <c r="Z16" s="159">
        <f t="shared" si="18"/>
        <v>5</v>
      </c>
      <c r="AA16" s="327"/>
      <c r="AB16" s="400">
        <f t="shared" si="41"/>
        <v>-30</v>
      </c>
      <c r="AC16" s="371"/>
      <c r="AD16" s="226" t="str">
        <f t="shared" si="19"/>
        <v/>
      </c>
      <c r="AE16" s="368">
        <f t="shared" si="34"/>
        <v>-25</v>
      </c>
      <c r="AF16" s="335"/>
      <c r="AG16" s="333"/>
      <c r="AH16" s="334">
        <v>0</v>
      </c>
      <c r="AI16" s="161">
        <f t="shared" si="20"/>
        <v>0</v>
      </c>
      <c r="AJ16" s="162">
        <f t="shared" si="21"/>
        <v>5</v>
      </c>
      <c r="AK16" s="163">
        <f t="shared" si="35"/>
        <v>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13</v>
      </c>
      <c r="AX16" s="165" t="str">
        <f t="shared" si="23"/>
        <v/>
      </c>
      <c r="AY16" s="193">
        <f t="shared" si="24"/>
        <v>13</v>
      </c>
      <c r="AZ16" s="183" t="str">
        <f t="shared" si="25"/>
        <v/>
      </c>
      <c r="BA16" s="173">
        <f t="shared" si="26"/>
        <v>0.5</v>
      </c>
      <c r="BB16" s="174" t="str">
        <f t="shared" si="27"/>
        <v/>
      </c>
      <c r="BC16" s="186">
        <f>IF(OR(K16="x",F16="x",BA16&lt;=0),"",BA16)</f>
        <v>0.5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3473</v>
      </c>
      <c r="E17" s="16" t="s">
        <v>3472</v>
      </c>
      <c r="F17" s="17"/>
      <c r="G17" s="131">
        <v>44246</v>
      </c>
      <c r="H17" s="133">
        <v>44246</v>
      </c>
      <c r="I17" s="140" t="s">
        <v>0</v>
      </c>
      <c r="J17" s="78" t="s">
        <v>0</v>
      </c>
      <c r="K17" s="144"/>
      <c r="L17" s="119"/>
      <c r="M17" s="394">
        <v>44274</v>
      </c>
      <c r="N17" s="158">
        <f t="shared" si="33"/>
        <v>21</v>
      </c>
      <c r="O17" s="27"/>
      <c r="P17" s="27"/>
      <c r="Q17" s="27"/>
      <c r="R17" s="27"/>
      <c r="S17" s="27"/>
      <c r="T17" s="28" t="s">
        <v>0</v>
      </c>
      <c r="U17" s="29"/>
      <c r="V17" s="32">
        <v>1</v>
      </c>
      <c r="W17" s="313">
        <v>0</v>
      </c>
      <c r="X17" s="319"/>
      <c r="Y17" s="160">
        <f t="shared" si="17"/>
        <v>1</v>
      </c>
      <c r="Z17" s="159">
        <f t="shared" si="18"/>
        <v>10</v>
      </c>
      <c r="AA17" s="327"/>
      <c r="AB17" s="400">
        <f t="shared" si="41"/>
        <v>-30</v>
      </c>
      <c r="AC17" s="371"/>
      <c r="AD17" s="226" t="str">
        <f t="shared" si="19"/>
        <v/>
      </c>
      <c r="AE17" s="368">
        <f t="shared" si="34"/>
        <v>-20</v>
      </c>
      <c r="AF17" s="335"/>
      <c r="AG17" s="333"/>
      <c r="AH17" s="334">
        <v>0</v>
      </c>
      <c r="AI17" s="161">
        <f t="shared" si="20"/>
        <v>0</v>
      </c>
      <c r="AJ17" s="162">
        <f t="shared" si="21"/>
        <v>10</v>
      </c>
      <c r="AK17" s="163">
        <f t="shared" si="35"/>
        <v>10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21</v>
      </c>
      <c r="AX17" s="165" t="str">
        <f t="shared" si="23"/>
        <v/>
      </c>
      <c r="AY17" s="193">
        <f t="shared" si="24"/>
        <v>21</v>
      </c>
      <c r="AZ17" s="183" t="str">
        <f t="shared" si="25"/>
        <v/>
      </c>
      <c r="BA17" s="173">
        <f t="shared" si="26"/>
        <v>1</v>
      </c>
      <c r="BB17" s="174" t="str">
        <f t="shared" si="27"/>
        <v/>
      </c>
      <c r="BC17" s="186">
        <f>IF(OR(K17="x",F17="x",BA17&lt;=0),"",BA17)</f>
        <v>1</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3474</v>
      </c>
      <c r="E18" s="16" t="s">
        <v>3472</v>
      </c>
      <c r="F18" s="17"/>
      <c r="G18" s="134">
        <v>44302</v>
      </c>
      <c r="H18" s="135">
        <v>44322</v>
      </c>
      <c r="I18" s="141" t="s">
        <v>0</v>
      </c>
      <c r="J18" s="25"/>
      <c r="K18" s="145"/>
      <c r="L18" s="28"/>
      <c r="M18" s="395">
        <v>44330</v>
      </c>
      <c r="N18" s="158">
        <f t="shared" si="33"/>
        <v>21</v>
      </c>
      <c r="O18" s="27" t="s">
        <v>0</v>
      </c>
      <c r="P18" s="27"/>
      <c r="Q18" s="27"/>
      <c r="R18" s="27"/>
      <c r="S18" s="27"/>
      <c r="T18" s="28"/>
      <c r="U18" s="29"/>
      <c r="V18" s="32">
        <v>2</v>
      </c>
      <c r="W18" s="313">
        <v>0</v>
      </c>
      <c r="X18" s="319"/>
      <c r="Y18" s="160">
        <f t="shared" si="17"/>
        <v>2</v>
      </c>
      <c r="Z18" s="159">
        <f t="shared" si="18"/>
        <v>20</v>
      </c>
      <c r="AA18" s="327"/>
      <c r="AB18" s="400">
        <f t="shared" si="41"/>
        <v>-30</v>
      </c>
      <c r="AC18" s="371"/>
      <c r="AD18" s="226" t="str">
        <f t="shared" si="19"/>
        <v/>
      </c>
      <c r="AE18" s="368">
        <f t="shared" si="34"/>
        <v>-10</v>
      </c>
      <c r="AF18" s="335"/>
      <c r="AG18" s="333"/>
      <c r="AH18" s="334">
        <v>0</v>
      </c>
      <c r="AI18" s="161">
        <f t="shared" si="20"/>
        <v>0</v>
      </c>
      <c r="AJ18" s="162">
        <f t="shared" si="21"/>
        <v>20</v>
      </c>
      <c r="AK18" s="163">
        <f t="shared" si="35"/>
        <v>20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21</v>
      </c>
      <c r="AX18" s="165" t="str">
        <f t="shared" si="23"/>
        <v/>
      </c>
      <c r="AY18" s="193">
        <f t="shared" si="24"/>
        <v>21</v>
      </c>
      <c r="AZ18" s="183" t="str">
        <f t="shared" si="25"/>
        <v/>
      </c>
      <c r="BA18" s="173">
        <f t="shared" si="26"/>
        <v>2</v>
      </c>
      <c r="BB18" s="174" t="str">
        <f t="shared" si="27"/>
        <v/>
      </c>
      <c r="BC18" s="186">
        <f t="shared" ref="BC18:BC81" si="48">IF(OR(K18="x",F18="X",BA18&lt;=0),"",BA18)</f>
        <v>2</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3475</v>
      </c>
      <c r="E19" s="18" t="s">
        <v>3476</v>
      </c>
      <c r="F19" s="17"/>
      <c r="G19" s="134">
        <v>44362</v>
      </c>
      <c r="H19" s="135">
        <v>44362</v>
      </c>
      <c r="I19" s="141" t="s">
        <v>0</v>
      </c>
      <c r="J19" s="25"/>
      <c r="K19" s="145"/>
      <c r="L19" s="28"/>
      <c r="M19" s="395">
        <v>44362</v>
      </c>
      <c r="N19" s="158">
        <f t="shared" si="33"/>
        <v>1</v>
      </c>
      <c r="O19" s="27"/>
      <c r="P19" s="27" t="s">
        <v>0</v>
      </c>
      <c r="Q19" s="27"/>
      <c r="R19" s="27"/>
      <c r="S19" s="27"/>
      <c r="T19" s="28"/>
      <c r="U19" s="29"/>
      <c r="V19" s="167">
        <v>0</v>
      </c>
      <c r="W19" s="313">
        <v>0</v>
      </c>
      <c r="X19" s="319"/>
      <c r="Y19" s="160">
        <f t="shared" si="17"/>
        <v>0</v>
      </c>
      <c r="Z19" s="159">
        <f t="shared" si="18"/>
        <v>0</v>
      </c>
      <c r="AA19" s="327"/>
      <c r="AB19" s="400">
        <f t="shared" si="41"/>
        <v>0</v>
      </c>
      <c r="AC19" s="371"/>
      <c r="AD19" s="226" t="str">
        <f t="shared" si="19"/>
        <v/>
      </c>
      <c r="AE19" s="368">
        <f t="shared" si="34"/>
        <v>0</v>
      </c>
      <c r="AF19" s="335"/>
      <c r="AG19" s="333"/>
      <c r="AH19" s="334">
        <v>0</v>
      </c>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3477</v>
      </c>
      <c r="E20" s="16" t="s">
        <v>3478</v>
      </c>
      <c r="F20" s="17"/>
      <c r="G20" s="131">
        <v>44369</v>
      </c>
      <c r="H20" s="133">
        <v>44384</v>
      </c>
      <c r="I20" s="140" t="s">
        <v>0</v>
      </c>
      <c r="J20" s="78"/>
      <c r="K20" s="144"/>
      <c r="L20" s="119"/>
      <c r="M20" s="394">
        <v>44384</v>
      </c>
      <c r="N20" s="158">
        <f t="shared" si="33"/>
        <v>12</v>
      </c>
      <c r="O20" s="27" t="s">
        <v>0</v>
      </c>
      <c r="P20" s="27"/>
      <c r="Q20" s="27"/>
      <c r="R20" s="27"/>
      <c r="S20" s="27"/>
      <c r="T20" s="28"/>
      <c r="U20" s="29"/>
      <c r="V20" s="32">
        <v>3</v>
      </c>
      <c r="W20" s="313">
        <v>0</v>
      </c>
      <c r="X20" s="319"/>
      <c r="Y20" s="160">
        <f t="shared" si="17"/>
        <v>3</v>
      </c>
      <c r="Z20" s="159">
        <f t="shared" si="18"/>
        <v>30</v>
      </c>
      <c r="AA20" s="327"/>
      <c r="AB20" s="400">
        <f t="shared" si="41"/>
        <v>0</v>
      </c>
      <c r="AC20" s="371" t="s">
        <v>0</v>
      </c>
      <c r="AD20" s="226" t="str">
        <f t="shared" si="19"/>
        <v/>
      </c>
      <c r="AE20" s="368">
        <f t="shared" si="34"/>
        <v>-30</v>
      </c>
      <c r="AF20" s="335"/>
      <c r="AG20" s="333"/>
      <c r="AH20" s="334">
        <v>0</v>
      </c>
      <c r="AI20" s="161">
        <f t="shared" si="20"/>
        <v>0</v>
      </c>
      <c r="AJ20" s="162">
        <f t="shared" si="21"/>
        <v>30</v>
      </c>
      <c r="AK20" s="163">
        <f t="shared" si="35"/>
        <v>30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12</v>
      </c>
      <c r="AX20" s="165" t="str">
        <f t="shared" si="23"/>
        <v/>
      </c>
      <c r="AY20" s="193">
        <f t="shared" si="24"/>
        <v>12</v>
      </c>
      <c r="AZ20" s="183" t="str">
        <f t="shared" si="25"/>
        <v/>
      </c>
      <c r="BA20" s="173">
        <f t="shared" si="26"/>
        <v>3</v>
      </c>
      <c r="BB20" s="174" t="str">
        <f t="shared" si="27"/>
        <v/>
      </c>
      <c r="BC20" s="186">
        <f t="shared" si="48"/>
        <v>3</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3479</v>
      </c>
      <c r="E21" s="81" t="s">
        <v>3472</v>
      </c>
      <c r="F21" s="34"/>
      <c r="G21" s="131">
        <v>44370</v>
      </c>
      <c r="H21" s="132">
        <v>44385</v>
      </c>
      <c r="I21" s="140" t="s">
        <v>0</v>
      </c>
      <c r="J21" s="78"/>
      <c r="K21" s="144"/>
      <c r="L21" s="119"/>
      <c r="M21" s="394">
        <v>44385</v>
      </c>
      <c r="N21" s="158">
        <f t="shared" si="33"/>
        <v>12</v>
      </c>
      <c r="O21" s="311"/>
      <c r="P21" s="311"/>
      <c r="Q21" s="311" t="s">
        <v>0</v>
      </c>
      <c r="R21" s="311"/>
      <c r="S21" s="311"/>
      <c r="T21" s="312"/>
      <c r="U21" s="314"/>
      <c r="V21" s="167">
        <v>1</v>
      </c>
      <c r="W21" s="313">
        <v>3</v>
      </c>
      <c r="X21" s="313"/>
      <c r="Y21" s="160">
        <f t="shared" si="17"/>
        <v>4</v>
      </c>
      <c r="Z21" s="159">
        <f t="shared" si="18"/>
        <v>70</v>
      </c>
      <c r="AA21" s="326"/>
      <c r="AB21" s="400">
        <f t="shared" si="41"/>
        <v>0</v>
      </c>
      <c r="AC21" s="370" t="s">
        <v>0</v>
      </c>
      <c r="AD21" s="226" t="str">
        <f t="shared" si="19"/>
        <v/>
      </c>
      <c r="AE21" s="368">
        <f t="shared" si="34"/>
        <v>10</v>
      </c>
      <c r="AF21" s="331"/>
      <c r="AG21" s="333"/>
      <c r="AH21" s="334">
        <v>0</v>
      </c>
      <c r="AI21" s="161">
        <f t="shared" si="20"/>
        <v>10</v>
      </c>
      <c r="AJ21" s="162">
        <f t="shared" si="21"/>
        <v>70</v>
      </c>
      <c r="AK21" s="163">
        <f t="shared" si="35"/>
        <v>70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12</v>
      </c>
      <c r="AX21" s="165" t="str">
        <f t="shared" si="23"/>
        <v/>
      </c>
      <c r="AY21" s="193">
        <f t="shared" si="24"/>
        <v>12</v>
      </c>
      <c r="AZ21" s="183" t="str">
        <f t="shared" si="25"/>
        <v/>
      </c>
      <c r="BA21" s="173">
        <f t="shared" si="26"/>
        <v>1</v>
      </c>
      <c r="BB21" s="174" t="str">
        <f t="shared" si="27"/>
        <v/>
      </c>
      <c r="BC21" s="186">
        <f t="shared" si="48"/>
        <v>1</v>
      </c>
      <c r="BD21" s="174" t="str">
        <f t="shared" si="28"/>
        <v/>
      </c>
      <c r="BE21" s="201">
        <f t="shared" si="29"/>
        <v>3</v>
      </c>
      <c r="BF21" s="174" t="str">
        <f t="shared" si="30"/>
        <v/>
      </c>
      <c r="BG21" s="186">
        <f t="shared" si="31"/>
        <v>3</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AA16:AC20 AE66:AI111 AE116:AI161 AE166:AI211 AE216:AI261 AE266:AI311 AE316:AI361 AE366:AI411 AE416:AI461 AE516:AI561 AE566:AI611 AE616:AI661 AE666:AI711 AE716:AI761 AE766:AI811 AE816:AI861 AE866:AI911 AE916:AI961 O16:U20 BC12:BD1011 BE10:BG1011 V5:Y8 E10:X11 AA10:AC11 AF10:AH11 AY10:BB1011 BC10:BD10 C10:C11 AD12:AD1011 N12:N1011 Y10:Z1011 AB12:AB1011 AI14:AI1011 AJ15:AJ1011 AI14:AJ14 AI10:AO13 AE10:AE1011 AA5:AH8 AJ5:AO8 AW10:AW1011 AR12:AR1011 AT12:AT1011 AP12:AP1011 BH10:BI10 BH12:BI1011 AW5:BI8 AK14:AO1011 V17:V18 X17:X20 V20">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Wong, Alyson</cp:lastModifiedBy>
  <cp:lastPrinted>2016-05-31T18:15:39Z</cp:lastPrinted>
  <dcterms:created xsi:type="dcterms:W3CDTF">2013-04-08T20:12:31Z</dcterms:created>
  <dcterms:modified xsi:type="dcterms:W3CDTF">2021-07-14T02:54:48Z</dcterms:modified>
</cp:coreProperties>
</file>