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Z:\Admin\92F-UIPA Log\FY2021\"/>
    </mc:Choice>
  </mc:AlternateContent>
  <bookViews>
    <workbookView xWindow="0" yWindow="0" windowWidth="23040" windowHeight="1066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<sst xmlns="http://schemas.openxmlformats.org/spreadsheetml/2006/main" count="7378" uniqueCount="3491">
  <si>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</si>
  <si>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</si>
  <si>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</si>
  <si>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</si>
  <si>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</si>
  <si>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</si>
  <si>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</si>
  <si>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</si>
  <si>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</si>
  <si>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</si>
  <si>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</si>
  <si>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</si>
  <si>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</si>
  <si>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</si>
  <si>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</si>
  <si>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</si>
  <si>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</si>
  <si>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</si>
  <si>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</si>
  <si>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</si>
  <si>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</si>
  <si>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</si>
  <si>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</si>
  <si>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</si>
  <si>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</si>
  <si>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</si>
  <si>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</si>
  <si>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</si>
  <si>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</si>
  <si>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</si>
  <si>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</si>
  <si>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</si>
  <si>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</si>
  <si>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</si>
  <si>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</si>
  <si>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</si>
  <si>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</si>
  <si>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</si>
  <si>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</si>
  <si>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</si>
  <si>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</si>
  <si>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</si>
  <si>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</si>
  <si>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</si>
  <si>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</si>
  <si>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</si>
  <si>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</si>
  <si>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</si>
  <si>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</si>
  <si>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</si>
  <si>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</si>
  <si>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</si>
  <si>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</si>
  <si>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</si>
  <si>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</si>
  <si>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</si>
  <si>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</si>
  <si>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</si>
  <si>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</si>
  <si>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</si>
  <si>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</si>
  <si>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</si>
  <si>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</si>
  <si>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</si>
  <si>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</si>
  <si>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</si>
  <si>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</si>
  <si>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</si>
  <si>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</si>
  <si>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</si>
  <si>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</si>
  <si>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</si>
  <si>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</si>
  <si>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</si>
  <si>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</si>
  <si>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</si>
  <si>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</si>
  <si>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</si>
  <si>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</si>
  <si>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</si>
  <si>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</si>
  <si>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</si>
  <si>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</si>
  <si>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</si>
  <si>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</si>
  <si>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</si>
  <si>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</si>
  <si>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</si>
  <si>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</si>
  <si>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</si>
  <si>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</si>
  <si>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</si>
  <si>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</si>
  <si>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</si>
  <si>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</si>
  <si>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</si>
  <si>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</si>
  <si>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</si>
  <si>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</si>
  <si>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</si>
  <si>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</si>
  <si>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</si>
  <si>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</si>
  <si>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</si>
  <si>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</si>
  <si>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</si>
  <si>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</si>
  <si>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</si>
  <si>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</si>
  <si>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</si>
  <si>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</si>
  <si>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</si>
  <si>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</si>
  <si>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</si>
  <si>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</si>
  <si>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</si>
  <si>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</si>
  <si>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</si>
  <si>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</si>
  <si>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</si>
  <si>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</si>
  <si>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</si>
  <si>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</si>
  <si>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</si>
  <si>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</si>
  <si>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</si>
  <si>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</si>
  <si>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</si>
  <si>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</si>
  <si>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</si>
  <si>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</si>
  <si>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</si>
  <si>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</si>
  <si>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</si>
  <si>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</si>
  <si>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</si>
  <si>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</si>
  <si>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</si>
  <si>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</si>
  <si>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</si>
  <si>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</si>
  <si>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</si>
  <si>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</si>
  <si>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</si>
  <si>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</si>
  <si>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</si>
  <si>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</si>
  <si>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</si>
  <si>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</si>
  <si>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</si>
  <si>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</si>
  <si>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</si>
  <si>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</si>
  <si>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</si>
  <si>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</si>
  <si>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</si>
  <si>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</si>
  <si>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</si>
  <si>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</si>
  <si>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</si>
  <si>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</si>
  <si>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</si>
  <si>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</si>
  <si>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</si>
  <si>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</si>
  <si>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</si>
  <si>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</si>
  <si>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</si>
  <si>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</si>
  <si>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</si>
  <si>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</si>
  <si>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</si>
  <si>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</si>
  <si>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</si>
  <si>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</si>
  <si>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</si>
  <si>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</si>
  <si>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</si>
  <si>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</si>
  <si>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</si>
  <si>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</si>
  <si>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</si>
  <si>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</si>
  <si>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</si>
  <si>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</si>
  <si>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</si>
  <si>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</si>
  <si>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</si>
  <si>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</si>
  <si>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</si>
  <si>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</si>
  <si>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</si>
  <si>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</si>
  <si>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</si>
  <si>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</si>
  <si>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</si>
  <si>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</si>
  <si>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</si>
  <si>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</si>
  <si>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</si>
  <si>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</si>
  <si>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</si>
  <si>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</si>
  <si>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</si>
  <si>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</si>
  <si>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</si>
  <si>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</si>
  <si>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</si>
  <si>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</si>
  <si>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</si>
  <si>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</si>
  <si>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</si>
  <si>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</si>
  <si>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</si>
  <si>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</si>
  <si>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</si>
  <si>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</si>
  <si>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</si>
  <si>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</si>
  <si>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</si>
  <si>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</si>
  <si>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</si>
  <si>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</si>
  <si>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</si>
  <si>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</si>
  <si>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</si>
  <si>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</si>
  <si>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</si>
  <si>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</si>
  <si>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</si>
  <si>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</si>
  <si>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</si>
  <si>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</si>
  <si>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</si>
  <si>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</si>
  <si>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</si>
  <si>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</si>
  <si>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</si>
  <si>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</si>
  <si>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</si>
  <si>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</si>
  <si>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</si>
  <si>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</si>
  <si>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</si>
  <si>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</si>
  <si>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</si>
  <si>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</si>
  <si>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</si>
  <si>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</si>
  <si>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</si>
  <si>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</si>
  <si>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</si>
  <si>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</si>
  <si>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</si>
  <si>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</si>
  <si>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</si>
  <si>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</si>
  <si>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</si>
  <si>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</si>
  <si>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</si>
  <si>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</si>
  <si>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</si>
  <si>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</si>
  <si>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</si>
  <si>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</si>
  <si>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</si>
  <si>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</si>
  <si>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</si>
  <si>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</si>
  <si>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</si>
  <si>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</si>
  <si>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</si>
  <si>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</si>
  <si>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</si>
  <si>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</si>
  <si>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</si>
  <si>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</si>
  <si>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</si>
  <si>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</si>
  <si>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</si>
  <si>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</si>
  <si>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</si>
  <si>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</si>
  <si>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</si>
  <si>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</si>
  <si>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</si>
  <si>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</si>
  <si>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</si>
  <si>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</si>
  <si>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</si>
  <si>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</si>
  <si>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</si>
  <si>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</si>
  <si>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</si>
  <si>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</si>
  <si>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</si>
  <si>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</si>
  <si>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</si>
  <si>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</si>
  <si>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</si>
  <si>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</si>
  <si>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</si>
  <si>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</si>
  <si>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</si>
  <si>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</si>
  <si>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</si>
  <si>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</si>
  <si>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</si>
  <si>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</si>
  <si>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</si>
  <si>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</si>
  <si>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</si>
  <si>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</si>
  <si>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</si>
  <si>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</si>
  <si>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</si>
  <si>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</si>
  <si>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</si>
  <si>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</si>
  <si>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</si>
  <si>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</si>
  <si>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</si>
  <si>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</si>
  <si>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</si>
  <si>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</si>
  <si>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</si>
  <si>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</si>
  <si>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</si>
  <si>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</si>
  <si>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</si>
  <si>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</si>
  <si>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</si>
  <si>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</si>
  <si>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</si>
  <si>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</si>
  <si>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</si>
  <si>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</si>
  <si>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</si>
  <si>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</si>
  <si>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</si>
  <si>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</si>
  <si>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</si>
  <si>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</si>
  <si>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</si>
  <si>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</si>
  <si>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</si>
  <si>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</si>
  <si>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</si>
  <si>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</si>
  <si>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</si>
  <si>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</si>
  <si>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</si>
  <si>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</si>
  <si>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</si>
  <si>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</si>
  <si>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</si>
  <si>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</si>
  <si>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</si>
  <si>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</si>
  <si>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</si>
  <si>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</si>
  <si>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</si>
  <si>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</si>
  <si>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</si>
  <si>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</si>
  <si>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</si>
  <si>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</si>
  <si>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</si>
  <si>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</si>
  <si>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</si>
  <si>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</si>
  <si>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</si>
  <si>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</si>
  <si>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</si>
  <si>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</si>
  <si>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</si>
  <si>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</si>
  <si>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</si>
  <si>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</si>
  <si>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</si>
  <si>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</si>
  <si>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</si>
  <si>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</si>
  <si>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</si>
  <si>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</si>
  <si>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</si>
  <si>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</si>
  <si>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</si>
  <si>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</si>
  <si>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</si>
  <si>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</si>
  <si>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</si>
  <si>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</si>
  <si>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</si>
  <si>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</si>
  <si>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</si>
  <si>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</si>
  <si>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</si>
  <si>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</si>
  <si>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</si>
  <si>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</si>
  <si>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</si>
  <si>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</si>
  <si>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</si>
  <si>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</si>
  <si>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</si>
  <si>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</si>
  <si>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</si>
  <si>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</si>
  <si>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</si>
  <si>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</si>
  <si>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</si>
  <si>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</si>
  <si>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</si>
  <si>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</si>
  <si>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</si>
  <si>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</si>
  <si>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</si>
  <si>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</si>
  <si>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</si>
  <si>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</si>
  <si>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</si>
  <si>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</si>
  <si>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</si>
  <si>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</si>
  <si>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</si>
  <si>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</si>
  <si>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</si>
  <si>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</si>
  <si>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</si>
  <si>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</si>
  <si>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</si>
  <si>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</si>
  <si>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</si>
  <si>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</si>
  <si>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</si>
  <si>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</si>
  <si>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</si>
  <si>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</si>
  <si>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</si>
  <si>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</si>
  <si>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</si>
  <si>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</si>
  <si>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</si>
  <si>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</si>
  <si>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</si>
  <si>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</si>
  <si>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</si>
  <si>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</si>
  <si>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</si>
  <si>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</si>
  <si>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</si>
  <si>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</si>
  <si>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</si>
  <si>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</si>
  <si>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</si>
  <si>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</si>
  <si>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</si>
  <si>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</si>
  <si>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</si>
  <si>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</si>
  <si>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</si>
  <si>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</si>
  <si>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</si>
  <si>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</si>
  <si>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</si>
  <si>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</si>
  <si>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</si>
  <si>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</si>
  <si>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</si>
  <si>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</si>
  <si>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</si>
  <si>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</si>
  <si>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</si>
  <si>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</si>
  <si>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</si>
  <si>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</si>
  <si>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</si>
  <si>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</si>
  <si>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</si>
  <si>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</si>
  <si>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</si>
  <si>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</si>
  <si>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</si>
  <si>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</si>
  <si>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</si>
  <si>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</si>
  <si>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</si>
  <si>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</si>
  <si>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</si>
  <si>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</si>
  <si>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</si>
  <si>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</si>
  <si>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</si>
  <si>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</si>
  <si>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</si>
  <si>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</si>
  <si>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</si>
  <si>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</si>
  <si>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</si>
  <si>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</si>
  <si>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</si>
  <si>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</si>
  <si>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</si>
  <si>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</si>
  <si>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</si>
  <si>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</si>
  <si>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</si>
  <si>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</si>
  <si>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</si>
  <si>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</si>
  <si>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</si>
  <si>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</si>
  <si>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</si>
  <si>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</si>
  <si>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</si>
  <si>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</si>
  <si>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</si>
  <si>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</si>
  <si>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</si>
  <si>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</si>
  <si>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</si>
  <si>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</si>
  <si>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</si>
  <si>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</si>
  <si>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</si>
  <si>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</si>
  <si>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</si>
  <si>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</si>
  <si>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</si>
  <si>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</si>
  <si>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</si>
  <si>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</si>
  <si>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</si>
  <si>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</si>
  <si>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</si>
  <si>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</si>
  <si>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</si>
  <si>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</si>
  <si>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</si>
  <si>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</si>
  <si>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</si>
  <si>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</si>
  <si>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</si>
  <si>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</si>
  <si>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</si>
  <si>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</si>
  <si>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</si>
  <si>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</si>
  <si>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</si>
  <si>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</si>
  <si>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</si>
  <si>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</si>
  <si>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</si>
  <si>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</si>
  <si>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</si>
  <si>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</si>
  <si>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</si>
  <si>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</si>
  <si>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</si>
  <si>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</si>
  <si>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</si>
  <si>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</si>
  <si>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</si>
  <si>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</si>
  <si>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</si>
  <si>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</si>
  <si>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</si>
  <si>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</si>
  <si>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</si>
  <si>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</si>
  <si>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</si>
  <si>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</si>
  <si>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</si>
  <si>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</si>
  <si>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</si>
  <si>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</si>
  <si>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</si>
  <si>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</si>
  <si>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</si>
  <si>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</si>
  <si>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</si>
  <si>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</si>
  <si>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</si>
  <si>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</si>
  <si>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</si>
  <si>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</si>
  <si>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</si>
  <si>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</si>
  <si>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</si>
  <si>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</si>
  <si>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</si>
  <si>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</si>
  <si>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</si>
  <si>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</si>
  <si>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</si>
  <si>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</si>
  <si>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</si>
  <si>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</si>
  <si>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</si>
  <si>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</si>
  <si>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</si>
  <si>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</si>
  <si>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</si>
  <si>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</si>
  <si>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</si>
  <si>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</si>
  <si>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</si>
  <si>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</si>
  <si>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</si>
  <si>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</si>
  <si>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</si>
  <si>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</si>
  <si>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</si>
  <si>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</si>
  <si>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</si>
  <si>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</si>
  <si>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</si>
  <si>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</si>
  <si>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</si>
  <si>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</si>
  <si>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</si>
  <si>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</si>
  <si>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</si>
  <si>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</si>
  <si>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</si>
  <si>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</si>
  <si>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</si>
  <si>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</si>
  <si>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</si>
  <si>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</si>
  <si>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</si>
  <si>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</si>
  <si>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</si>
  <si>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</si>
  <si>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</si>
  <si>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</si>
  <si>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</si>
  <si>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</si>
  <si>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</si>
  <si>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</si>
  <si>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</si>
  <si>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</si>
  <si>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</si>
  <si>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</si>
  <si>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</si>
  <si>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</si>
  <si>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</si>
  <si>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</si>
  <si>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</si>
  <si>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</si>
  <si>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</si>
  <si>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</si>
  <si>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</si>
  <si>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</si>
  <si>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</si>
  <si>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</si>
  <si>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</si>
  <si>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</si>
  <si>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</si>
  <si>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</si>
  <si>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</si>
  <si>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</si>
  <si>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</si>
  <si>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</si>
  <si>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</si>
  <si>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</si>
  <si>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</si>
  <si>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</si>
  <si>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</si>
  <si>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</si>
  <si>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</si>
  <si>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</si>
  <si>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</si>
  <si>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</si>
  <si>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</si>
  <si>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</si>
  <si>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</si>
  <si>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</si>
  <si>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</si>
  <si>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</si>
  <si>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</si>
  <si>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</si>
  <si>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</si>
  <si>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</si>
  <si>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</si>
  <si>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</si>
  <si>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</si>
  <si>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</si>
  <si>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</si>
  <si>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</si>
  <si>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</si>
  <si>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</si>
  <si>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</si>
  <si>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</si>
  <si>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</si>
  <si>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</si>
  <si>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</si>
  <si>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</si>
  <si>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</si>
  <si>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</si>
  <si>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</si>
  <si>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</si>
  <si>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</si>
  <si>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</si>
  <si>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</si>
  <si>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</si>
  <si>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</si>
  <si>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</si>
  <si>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</si>
  <si>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</si>
  <si>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</si>
  <si>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</si>
  <si>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</si>
  <si>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</si>
  <si>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</si>
  <si>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</si>
  <si>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</si>
  <si>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</si>
  <si>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</si>
  <si>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</si>
  <si>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</si>
  <si>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</si>
  <si>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</si>
  <si>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</si>
  <si>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</si>
  <si>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</si>
  <si>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</si>
  <si>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</si>
  <si>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</si>
  <si>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</si>
  <si>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</si>
  <si>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</si>
  <si>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</si>
  <si>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</si>
  <si>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</si>
  <si>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</si>
  <si>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</si>
  <si>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</si>
  <si>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</si>
  <si>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</si>
  <si>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</si>
  <si>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</si>
  <si>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</si>
  <si>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</si>
  <si>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</si>
  <si>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</si>
  <si>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</si>
  <si>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</si>
  <si>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</si>
  <si>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</si>
  <si>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</si>
  <si>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</si>
  <si>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</si>
  <si>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</si>
  <si>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</si>
  <si>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</si>
  <si>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</si>
  <si>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</si>
  <si>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</si>
  <si>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</si>
  <si>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</si>
  <si>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</si>
  <si>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</si>
  <si>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</si>
  <si>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</si>
  <si>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</si>
  <si>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</si>
  <si>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</si>
  <si>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</si>
  <si>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</si>
  <si>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</si>
  <si>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</si>
  <si>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</si>
  <si>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</si>
  <si>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</si>
  <si>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</si>
  <si>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</si>
  <si>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</si>
  <si>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</si>
  <si>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</si>
  <si>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</si>
  <si>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</si>
  <si>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</si>
  <si>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</si>
  <si>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</si>
  <si>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</si>
  <si>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</si>
  <si>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</si>
  <si>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</si>
  <si>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</si>
  <si>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</si>
  <si>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</si>
  <si>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</si>
  <si>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</si>
  <si>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</si>
  <si>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</si>
  <si>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</si>
  <si>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</si>
  <si>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</si>
  <si>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</si>
  <si>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</si>
  <si>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</si>
  <si>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</si>
  <si>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</si>
  <si>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</si>
  <si>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</si>
  <si>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</si>
  <si>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</si>
  <si>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</si>
  <si>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</si>
  <si>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</si>
  <si>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</si>
  <si>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</si>
  <si>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</si>
  <si>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</si>
  <si>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</si>
  <si>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</si>
  <si>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</si>
  <si>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</si>
  <si>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</si>
  <si>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</si>
  <si>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</si>
  <si>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</si>
  <si>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</si>
  <si>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</si>
  <si>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</si>
  <si>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</si>
  <si>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</si>
  <si>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</si>
  <si>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</si>
  <si>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</si>
  <si>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</si>
  <si>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</si>
  <si>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</si>
  <si>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</si>
  <si>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</si>
  <si>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</si>
  <si>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</si>
  <si>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</si>
  <si>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</si>
  <si>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</si>
  <si>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</si>
  <si>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</si>
  <si>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</si>
  <si>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</si>
  <si>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</si>
  <si>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</si>
  <si>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</si>
  <si>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</si>
  <si>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</si>
  <si>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</si>
  <si>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</si>
  <si>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</si>
  <si>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</si>
  <si>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</si>
  <si>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</si>
  <si>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</si>
  <si>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</si>
  <si>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</si>
  <si>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</si>
  <si>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</si>
  <si>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</si>
  <si>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</si>
  <si>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</si>
  <si>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</si>
  <si>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</si>
  <si>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</si>
  <si>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</si>
  <si>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</si>
  <si>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</si>
  <si>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</si>
  <si>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</si>
  <si>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</si>
  <si>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</si>
  <si>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</si>
  <si>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</si>
  <si>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</si>
  <si>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</si>
  <si>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</si>
  <si>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</si>
  <si>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</si>
  <si>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</si>
  <si>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</si>
  <si>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</si>
  <si>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</si>
  <si>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</si>
  <si>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</si>
  <si>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</si>
  <si>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</si>
  <si>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</si>
  <si>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</si>
  <si>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</si>
  <si>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</si>
  <si>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</si>
  <si>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</si>
  <si>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</si>
  <si>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</si>
  <si>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</si>
  <si>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</si>
  <si>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</si>
  <si>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</si>
  <si>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</si>
  <si>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</si>
  <si>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</si>
  <si>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</si>
  <si>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</si>
  <si>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</si>
  <si>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</si>
  <si>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</si>
  <si>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</si>
  <si>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</si>
  <si>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</si>
  <si>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</si>
  <si>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</si>
  <si>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</si>
  <si>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</si>
  <si>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</si>
  <si>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</si>
  <si>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</si>
  <si>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</si>
  <si>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</si>
  <si>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</si>
  <si>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</si>
  <si>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</si>
  <si>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</si>
  <si>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</si>
  <si>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</si>
  <si>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</si>
  <si>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</si>
  <si>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</si>
  <si>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</si>
  <si>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</si>
  <si>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</si>
  <si>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</si>
  <si>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</si>
  <si>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</si>
  <si>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</si>
  <si>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</si>
  <si>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</si>
  <si>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</si>
  <si>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</si>
  <si>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</si>
  <si>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</si>
  <si>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</si>
  <si>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</si>
  <si>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</si>
  <si>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</si>
  <si>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</si>
  <si>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</si>
  <si>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</si>
  <si>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</si>
  <si>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</si>
  <si>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</si>
  <si>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</si>
  <si>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</si>
  <si>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</si>
  <si>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</si>
  <si>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</si>
  <si>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</si>
  <si>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</si>
  <si>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</si>
  <si>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</si>
  <si>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</si>
  <si>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</si>
  <si>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</si>
  <si>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</si>
  <si>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</si>
  <si>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</si>
  <si>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</si>
  <si>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</si>
  <si>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</si>
  <si>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</si>
  <si>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</si>
  <si>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</si>
  <si>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</si>
  <si>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</si>
  <si>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</si>
  <si>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</si>
  <si>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</si>
  <si>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</si>
  <si>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</si>
  <si>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</si>
  <si>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</si>
  <si>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</si>
  <si>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</si>
  <si>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</si>
  <si>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</si>
  <si>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</si>
  <si>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</si>
  <si>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</si>
  <si>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</si>
  <si>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</si>
  <si>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</si>
  <si>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</si>
  <si>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</si>
  <si>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</si>
  <si>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</si>
  <si>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</si>
  <si>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</si>
  <si>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</si>
  <si>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</si>
  <si>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</si>
  <si>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</si>
  <si>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</si>
  <si>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</si>
  <si>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</si>
  <si>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</si>
  <si>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</si>
  <si>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</si>
  <si>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</si>
  <si>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</si>
  <si>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</si>
  <si>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</si>
  <si>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</si>
  <si>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</si>
  <si>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</si>
  <si>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</si>
  <si>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</si>
  <si>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</si>
  <si>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</si>
  <si>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</si>
  <si>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</si>
  <si>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</si>
  <si>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</si>
  <si>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</si>
  <si>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</si>
  <si>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</si>
  <si>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</si>
  <si>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</si>
  <si>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</si>
  <si>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</si>
  <si>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</si>
  <si>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</si>
  <si>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</si>
  <si>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</si>
  <si>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</si>
  <si>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</si>
  <si>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</si>
  <si>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</si>
  <si>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</si>
  <si>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</si>
  <si>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</si>
  <si>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</si>
  <si>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</si>
  <si>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</si>
  <si>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</si>
  <si>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</si>
  <si>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</si>
  <si>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</si>
  <si>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</si>
  <si>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</si>
  <si>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</si>
  <si>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</si>
  <si>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</si>
  <si>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</si>
  <si>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</si>
  <si>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</si>
  <si>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</si>
  <si>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</si>
  <si>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</si>
  <si>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</si>
  <si>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</si>
  <si>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</si>
  <si>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</si>
  <si>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</si>
  <si>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</si>
  <si>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</si>
  <si>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</si>
  <si>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</si>
  <si>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</si>
  <si>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</si>
  <si>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</si>
  <si>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</si>
  <si>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</si>
  <si>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</si>
  <si>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</si>
  <si>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</si>
  <si>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</si>
  <si>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</si>
  <si>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</si>
  <si>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</si>
  <si>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</si>
  <si>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</si>
  <si>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</si>
  <si>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</si>
  <si>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</si>
  <si>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</si>
  <si>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</si>
  <si>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</si>
  <si>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</si>
  <si>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</si>
  <si>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</si>
  <si>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</si>
  <si>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</si>
  <si>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</si>
  <si>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</si>
  <si>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</si>
  <si>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</si>
  <si>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</si>
  <si>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</si>
  <si>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</si>
  <si>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</si>
  <si>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</si>
  <si>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</si>
  <si>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</si>
  <si>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</si>
  <si>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</si>
  <si>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</si>
  <si>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</si>
  <si>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</si>
  <si>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</si>
  <si>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</si>
  <si>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</si>
  <si>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</si>
  <si>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</si>
  <si>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</si>
  <si>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</si>
  <si>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</si>
  <si>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</si>
  <si>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</si>
  <si>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</si>
  <si>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</si>
  <si>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</si>
  <si>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</si>
  <si>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</si>
  <si>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</si>
  <si>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</si>
  <si>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</si>
  <si>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</si>
  <si>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</si>
  <si>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</si>
  <si>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</si>
  <si>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</si>
  <si>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</si>
  <si>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</si>
  <si>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</si>
  <si>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</si>
  <si>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</si>
  <si>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</si>
  <si>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</si>
  <si>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</si>
  <si>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</si>
  <si>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</si>
  <si>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</si>
  <si>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</si>
  <si>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</si>
  <si>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</si>
  <si>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</si>
  <si>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</si>
  <si>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</si>
  <si>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</si>
  <si>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</si>
  <si>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</si>
  <si>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</si>
  <si>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</si>
  <si>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</si>
  <si>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</si>
  <si>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</si>
  <si>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</si>
  <si>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</si>
  <si>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</si>
  <si>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</si>
  <si>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</si>
  <si>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</si>
  <si>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</si>
  <si>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</si>
  <si>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</si>
  <si>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</si>
  <si>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</si>
  <si>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</si>
  <si>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</si>
  <si>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</si>
  <si>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</si>
  <si>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</si>
  <si>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</si>
  <si>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</si>
  <si>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</si>
  <si>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</si>
  <si>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</si>
  <si>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</si>
  <si>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</si>
  <si>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</si>
  <si>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</si>
  <si>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</si>
  <si>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</si>
  <si>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</si>
  <si>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</si>
  <si>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</si>
  <si>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</si>
  <si>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</si>
  <si>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</si>
  <si>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</si>
  <si>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</si>
  <si>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</si>
  <si>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</si>
  <si>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</si>
  <si>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</si>
  <si>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</si>
  <si>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</si>
  <si>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</si>
  <si>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</si>
  <si>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</si>
  <si>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</si>
  <si>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</si>
  <si>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</si>
  <si>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</si>
  <si>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</si>
  <si>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</si>
  <si>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</si>
  <si>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</si>
  <si>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</si>
  <si>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</si>
  <si>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</si>
  <si>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</si>
  <si>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</si>
  <si>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</si>
  <si>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</si>
  <si>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</si>
  <si>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</si>
  <si>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</si>
  <si>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</si>
  <si>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</si>
  <si>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</si>
  <si>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</si>
  <si>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</si>
  <si>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</si>
  <si>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</si>
  <si>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</si>
  <si>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</si>
  <si>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</si>
  <si>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</si>
  <si>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</si>
  <si>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</si>
  <si>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</si>
  <si>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</si>
  <si>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</si>
  <si>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</si>
  <si>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</si>
  <si>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</si>
  <si>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</si>
  <si>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</si>
  <si>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</si>
  <si>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</si>
  <si>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</si>
  <si>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</si>
  <si>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</si>
  <si>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</si>
  <si>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</si>
  <si>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</si>
  <si>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</si>
  <si>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</si>
  <si>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</si>
  <si>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</si>
  <si>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</si>
  <si>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</si>
  <si>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</si>
  <si>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</si>
  <si>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</si>
  <si>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</si>
  <si>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</si>
  <si>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</si>
  <si>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</si>
  <si>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</si>
  <si>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</si>
  <si>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</si>
  <si>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</si>
  <si>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</si>
  <si>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</si>
  <si>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</si>
  <si>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</si>
  <si>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</si>
  <si>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</si>
  <si>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</si>
  <si>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</si>
  <si>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</si>
  <si>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</si>
  <si>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</si>
  <si>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</si>
  <si>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</si>
  <si>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</si>
  <si>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</si>
  <si>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</si>
  <si>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</si>
  <si>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</si>
  <si>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</si>
  <si>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</si>
  <si>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</si>
  <si>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</si>
  <si>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</si>
  <si>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</si>
  <si>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</si>
  <si>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</si>
  <si>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</si>
  <si>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</si>
  <si>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</si>
  <si>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</si>
  <si>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</si>
  <si>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</si>
  <si>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</si>
  <si>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</si>
  <si>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</si>
  <si>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</si>
  <si>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</si>
  <si>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</si>
  <si>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</si>
  <si>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</si>
  <si>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</si>
  <si>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</si>
  <si>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</si>
  <si>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</si>
  <si>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</si>
  <si>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</si>
  <si>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</si>
  <si>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</si>
  <si>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</si>
  <si>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</si>
  <si>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</si>
  <si>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</si>
  <si>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</si>
  <si>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</si>
  <si>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</si>
  <si>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</si>
  <si>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</si>
  <si>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</si>
  <si>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</si>
  <si>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</si>
  <si>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</si>
  <si>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</si>
  <si>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</si>
  <si>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</si>
  <si>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</si>
  <si>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</si>
  <si>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</si>
  <si>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</si>
  <si>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</si>
  <si>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</si>
  <si>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</si>
  <si>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</si>
  <si>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</si>
  <si>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</si>
  <si>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</si>
  <si>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</si>
  <si>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</si>
  <si>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</si>
  <si>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</si>
  <si>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</si>
  <si>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</si>
  <si>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</si>
  <si>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</si>
  <si>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</si>
  <si>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</si>
  <si>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</si>
  <si>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</si>
  <si>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</si>
  <si>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</si>
  <si>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</si>
  <si>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</si>
  <si>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</si>
  <si>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</si>
  <si>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</si>
  <si>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</si>
  <si>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</si>
  <si>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</si>
  <si>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</si>
  <si>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</si>
  <si>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</si>
  <si>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</si>
  <si>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</si>
  <si>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</si>
  <si>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</si>
  <si>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</si>
  <si>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</si>
  <si>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</si>
  <si>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</si>
  <si>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</si>
  <si>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</si>
  <si>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</si>
  <si>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</si>
  <si>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</si>
  <si>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</si>
  <si>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</si>
  <si>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</si>
  <si>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</si>
  <si>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</si>
  <si>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</si>
  <si>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</si>
  <si>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</si>
  <si>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</si>
  <si>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</si>
  <si>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</si>
  <si>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</si>
  <si>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</si>
  <si>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</si>
  <si>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</si>
  <si>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</si>
  <si>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</si>
  <si>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</si>
  <si>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</si>
  <si>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</si>
  <si>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</si>
  <si>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</si>
  <si>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</si>
  <si>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</si>
  <si>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</si>
  <si>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</si>
  <si>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</si>
  <si>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</si>
  <si>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</si>
  <si>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</si>
  <si>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</si>
  <si>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</si>
  <si>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</si>
  <si>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</si>
  <si>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</si>
  <si>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</si>
  <si>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</si>
  <si>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</si>
  <si>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</si>
  <si>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</si>
  <si>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</si>
  <si>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</si>
  <si>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</si>
  <si>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</si>
  <si>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</si>
  <si>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</si>
  <si>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</si>
  <si>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</si>
  <si>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</si>
  <si>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</si>
  <si>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</si>
  <si>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</si>
  <si>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</si>
  <si>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</si>
  <si>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</si>
  <si>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</si>
  <si>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</si>
  <si>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</si>
  <si>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</si>
  <si>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</si>
  <si>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</si>
  <si>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</si>
  <si>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</si>
  <si>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</si>
  <si>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</si>
  <si>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</si>
  <si>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</si>
  <si>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</si>
  <si>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</si>
  <si>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</si>
  <si>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</si>
  <si>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</si>
  <si>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</si>
  <si>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</si>
  <si>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</si>
  <si>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</si>
  <si>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</si>
  <si>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</si>
  <si>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</si>
  <si>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</si>
  <si>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</si>
  <si>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</si>
  <si>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</si>
  <si>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</si>
  <si>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</si>
  <si>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</si>
  <si>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</si>
  <si>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</si>
  <si>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</si>
  <si>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</si>
  <si>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</si>
  <si>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</si>
  <si>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</si>
  <si>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</si>
  <si>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</si>
  <si>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</si>
  <si>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</si>
  <si>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</si>
  <si>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</si>
  <si>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</si>
  <si>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</si>
  <si>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</si>
  <si>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</si>
  <si>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</si>
  <si>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</si>
  <si>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</si>
  <si>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</si>
  <si>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</si>
  <si>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</si>
  <si>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</si>
  <si>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</si>
  <si>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</si>
  <si>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</si>
  <si>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</si>
  <si>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</si>
  <si>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</si>
  <si>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</si>
  <si>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</si>
  <si>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</si>
  <si>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</si>
  <si>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</si>
  <si>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</si>
  <si>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</si>
  <si>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</si>
  <si>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</si>
  <si>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</si>
  <si>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</si>
  <si>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</si>
  <si>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</si>
  <si>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</si>
  <si>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</si>
  <si>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</si>
  <si>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</si>
  <si>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</si>
  <si>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</si>
  <si>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</si>
  <si>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</si>
  <si>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</si>
  <si>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</si>
  <si>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</si>
  <si>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</si>
  <si>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</si>
  <si>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</si>
  <si>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</si>
  <si>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</si>
  <si>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</si>
  <si>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</si>
  <si>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</si>
  <si>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</si>
  <si>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</si>
  <si>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</si>
  <si>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</si>
  <si>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</si>
  <si>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</si>
  <si>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</si>
  <si>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</si>
  <si>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</si>
  <si>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</si>
  <si>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</si>
  <si>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</si>
  <si>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</si>
  <si>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</si>
  <si>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</si>
  <si>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</si>
  <si>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</si>
  <si>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</si>
  <si>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</si>
  <si>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</si>
  <si>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</si>
  <si>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</si>
  <si>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</si>
  <si>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</si>
  <si>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</si>
  <si>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</si>
  <si>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</si>
  <si>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</si>
  <si>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</si>
  <si>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</si>
  <si>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</si>
  <si>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</si>
  <si>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</si>
  <si>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</si>
  <si>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</si>
  <si>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</si>
  <si>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</si>
  <si>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</si>
  <si>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</si>
  <si>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</si>
  <si>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</si>
  <si>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</si>
  <si>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</si>
  <si>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</si>
  <si>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</si>
  <si>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</si>
  <si>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</si>
  <si>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</si>
  <si>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</si>
  <si>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</si>
  <si>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</si>
  <si>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</si>
  <si>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</si>
  <si>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</si>
  <si>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</si>
  <si>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</si>
  <si>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</si>
  <si>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</si>
  <si>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</si>
  <si>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</si>
  <si>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</si>
  <si>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</si>
  <si>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</si>
  <si>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</si>
  <si>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</si>
  <si>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</si>
  <si>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</si>
  <si>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</si>
  <si>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</si>
  <si>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</si>
  <si>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</si>
  <si>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</si>
  <si>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</si>
  <si>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</si>
  <si>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</si>
  <si>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</si>
  <si>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</si>
  <si>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</si>
  <si>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</si>
  <si>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</si>
  <si>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</si>
  <si>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</si>
  <si>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</si>
  <si>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</si>
  <si>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</si>
  <si>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</si>
  <si>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</si>
  <si>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</si>
  <si>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</si>
  <si>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</si>
  <si>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</si>
  <si>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</si>
  <si>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</si>
  <si>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</si>
  <si>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</si>
  <si>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</si>
  <si>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</si>
  <si>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</si>
  <si>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</si>
  <si>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</si>
  <si>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</si>
  <si>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</si>
  <si>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</si>
  <si>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</si>
  <si>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</si>
  <si>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</si>
  <si>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</si>
  <si>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</si>
  <si>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</si>
  <si>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</si>
  <si>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</si>
  <si>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</si>
  <si>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</si>
  <si>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</si>
  <si>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</si>
  <si>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</si>
  <si>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</si>
  <si>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</si>
  <si>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</si>
  <si>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</si>
  <si>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</si>
  <si>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</si>
  <si>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</si>
  <si>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</si>
  <si>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</si>
  <si>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</si>
  <si>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</si>
  <si>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</si>
  <si>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</si>
  <si>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</si>
  <si>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</si>
  <si>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</si>
  <si>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</si>
  <si>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</si>
  <si>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</si>
  <si>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</si>
  <si>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</si>
  <si>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</si>
  <si>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</si>
  <si>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</si>
  <si>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</si>
  <si>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</si>
  <si>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</si>
  <si>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</si>
  <si>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</si>
  <si>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</si>
  <si>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</si>
  <si>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</si>
  <si>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</si>
  <si>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</si>
  <si>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</si>
  <si>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</si>
  <si>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</si>
  <si>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</si>
  <si>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</si>
  <si>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</si>
  <si>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</si>
  <si>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</si>
  <si>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</si>
  <si>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</si>
  <si>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</si>
  <si>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</si>
  <si>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</si>
  <si>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</si>
  <si>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</si>
  <si>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</si>
  <si>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</si>
  <si>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</si>
  <si>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</si>
  <si>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</si>
  <si>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</si>
  <si>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</si>
  <si>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</si>
  <si>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</si>
  <si>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</si>
  <si>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</si>
  <si>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</si>
  <si>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</si>
  <si>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</si>
  <si>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</si>
  <si>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</si>
  <si>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</si>
  <si>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</si>
  <si>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</si>
  <si>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</si>
  <si>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</si>
  <si>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</si>
  <si>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</si>
  <si>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</si>
  <si>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</si>
  <si>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</si>
  <si>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</si>
  <si>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</si>
  <si>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</si>
  <si>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</si>
  <si>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</si>
  <si>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</si>
  <si>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</si>
  <si>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</si>
  <si>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</si>
  <si>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</si>
  <si>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</si>
  <si>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</si>
  <si>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</si>
  <si>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</si>
  <si>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</si>
  <si>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</si>
  <si>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</si>
  <si>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</si>
  <si>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</si>
  <si>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</si>
  <si>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</si>
  <si>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</si>
  <si>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</si>
  <si>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</si>
  <si>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</si>
  <si>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</si>
  <si>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</si>
  <si>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</si>
  <si>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</si>
  <si>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</si>
  <si>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</si>
  <si>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</si>
  <si>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</si>
  <si>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</si>
  <si>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</si>
  <si>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</si>
  <si>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</si>
  <si>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</si>
  <si>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</si>
  <si>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</si>
  <si>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</si>
  <si>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</si>
  <si>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</si>
  <si>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</si>
  <si>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</si>
  <si>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</si>
  <si>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</si>
  <si>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</si>
  <si>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</si>
  <si>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</si>
  <si>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</si>
  <si>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</si>
  <si>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</si>
  <si>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</si>
  <si>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</si>
  <si>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</si>
  <si>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</si>
  <si>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</si>
  <si>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</si>
  <si>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</si>
  <si>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</si>
  <si>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</si>
  <si>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</si>
  <si>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</si>
  <si>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</si>
  <si>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</si>
  <si>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</si>
  <si>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</si>
  <si>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</si>
  <si>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</si>
  <si>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</si>
  <si>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</si>
  <si>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</si>
  <si>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</si>
  <si>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</si>
  <si>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</si>
  <si>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</si>
  <si>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</si>
  <si>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</si>
  <si>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</si>
  <si>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</si>
  <si>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</si>
  <si>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</si>
  <si>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</si>
  <si>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</si>
  <si>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</si>
  <si>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</si>
  <si>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</si>
  <si>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</si>
  <si>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</si>
  <si>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</si>
  <si>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</si>
  <si>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</si>
  <si>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</si>
  <si>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</si>
  <si>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</si>
  <si>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</si>
  <si>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</si>
  <si>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</si>
  <si>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</si>
  <si>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</si>
  <si>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</si>
  <si>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</si>
  <si>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</si>
  <si>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</si>
  <si>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</si>
  <si>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</si>
  <si>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</si>
  <si>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</si>
  <si>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</si>
  <si>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</si>
  <si>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</si>
  <si>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</si>
  <si>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</si>
  <si>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</si>
  <si>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</si>
  <si>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</si>
  <si>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</si>
  <si>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</si>
  <si>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</si>
  <si>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</si>
  <si>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</si>
  <si>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</si>
  <si>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</si>
  <si>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</si>
  <si>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</si>
  <si>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</si>
  <si>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</si>
  <si>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</si>
  <si>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</si>
  <si>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</si>
  <si>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</si>
  <si>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</si>
  <si>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</si>
  <si>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</si>
  <si>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</si>
  <si>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</si>
  <si>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</si>
  <si>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</si>
  <si>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</si>
  <si>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</si>
  <si>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</si>
  <si>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</si>
  <si>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</si>
  <si>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</si>
  <si>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</si>
  <si>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</si>
  <si>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</si>
  <si>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</si>
  <si>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</si>
  <si>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</si>
  <si>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</si>
  <si>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</si>
  <si>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</si>
  <si>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</si>
  <si>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</si>
  <si>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</si>
  <si>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</si>
  <si>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</si>
  <si>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</si>
  <si>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</si>
  <si>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</si>
  <si>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</si>
  <si>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</si>
  <si>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</si>
  <si>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</si>
  <si>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</si>
  <si>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</si>
  <si>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</si>
  <si>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</si>
  <si>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</si>
  <si>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</si>
  <si>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</si>
  <si>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</si>
  <si>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</si>
  <si>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</si>
  <si>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</si>
  <si>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</si>
  <si>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</si>
  <si>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</si>
  <si>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</si>
  <si>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</si>
  <si>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</si>
  <si>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</si>
  <si>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</si>
  <si>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</si>
  <si>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</si>
  <si>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</si>
  <si>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</si>
  <si>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</si>
  <si>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</si>
  <si>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</si>
  <si>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</si>
  <si>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</si>
  <si>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</si>
  <si>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</si>
  <si>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</si>
  <si>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</si>
  <si>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</si>
  <si>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</si>
  <si>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</si>
  <si>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</si>
  <si>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</si>
  <si>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</si>
  <si>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</si>
  <si>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</si>
  <si>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</si>
  <si>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</si>
  <si>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</si>
  <si>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</si>
  <si>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</si>
  <si>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</si>
  <si>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</si>
  <si>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</si>
  <si>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</si>
  <si>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</si>
  <si>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</si>
  <si>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</si>
  <si>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</si>
  <si>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</si>
  <si>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</si>
  <si>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</si>
  <si>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</si>
  <si>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</si>
  <si>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</si>
  <si>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</si>
  <si>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</si>
  <si>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</si>
  <si>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</si>
  <si>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</si>
  <si>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</si>
  <si>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</si>
  <si>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</si>
  <si>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</si>
  <si>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</si>
  <si>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</si>
  <si>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</si>
  <si>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</si>
  <si>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</si>
  <si>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</si>
  <si>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</si>
  <si>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</si>
  <si>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</si>
  <si>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</si>
  <si>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</si>
  <si>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</si>
  <si>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</si>
  <si>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</si>
  <si>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</si>
  <si>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</si>
  <si>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</si>
  <si>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</si>
  <si>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</si>
  <si>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</si>
  <si>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</si>
  <si>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</si>
  <si>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</si>
  <si>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</si>
  <si>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</si>
  <si>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</si>
  <si>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</si>
  <si>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</si>
  <si>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</si>
  <si>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</si>
  <si>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</si>
  <si>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</si>
  <si>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</si>
  <si>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</si>
  <si>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</si>
  <si>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</si>
  <si>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</si>
  <si>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</si>
  <si>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</si>
  <si>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</si>
  <si>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</si>
  <si>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</si>
  <si>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</si>
  <si>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</si>
  <si>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</si>
  <si>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</si>
  <si>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</si>
  <si>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</si>
  <si>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</si>
  <si>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</si>
  <si>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</si>
  <si>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</si>
  <si>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</si>
  <si>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</si>
  <si>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</si>
  <si>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</si>
  <si>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</si>
  <si>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</si>
  <si>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</si>
  <si>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</si>
  <si>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</si>
  <si>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</si>
  <si>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</si>
  <si>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</si>
  <si>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</si>
  <si>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</si>
  <si>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</si>
  <si>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</si>
  <si>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</si>
  <si>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</si>
  <si>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</si>
  <si>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</si>
  <si>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</si>
  <si>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</si>
  <si>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</si>
  <si>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</si>
  <si>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</si>
  <si>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</si>
  <si>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</si>
  <si>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</si>
  <si>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</si>
  <si>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</si>
  <si>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</si>
  <si>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</si>
  <si>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</si>
  <si>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</si>
  <si>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</si>
  <si>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</si>
  <si>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</si>
  <si>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</si>
  <si>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</si>
  <si>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</si>
  <si>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</si>
  <si>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</si>
  <si>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</si>
  <si>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</si>
  <si>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</si>
  <si>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</si>
  <si>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</si>
  <si>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</si>
  <si>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</si>
  <si>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</si>
  <si>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</si>
  <si>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</si>
  <si>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</si>
  <si>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</si>
  <si>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</si>
  <si>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</si>
  <si>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</si>
  <si>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</si>
  <si>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</si>
  <si>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</si>
  <si>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</si>
  <si>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</si>
  <si>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</si>
  <si>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</si>
  <si>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</si>
  <si>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</si>
  <si>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</si>
  <si>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</si>
  <si>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</si>
  <si>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</si>
  <si>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</si>
  <si>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</si>
  <si>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</si>
  <si>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</si>
  <si>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</si>
  <si>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</si>
  <si>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</si>
  <si>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</si>
  <si>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</si>
  <si>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</si>
  <si>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</si>
  <si>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</si>
  <si>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</si>
  <si>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</si>
  <si>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</si>
  <si>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</si>
  <si>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</si>
  <si>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</si>
  <si>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</si>
  <si>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</si>
  <si>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</si>
  <si>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</si>
  <si>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</si>
  <si>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</si>
  <si>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</si>
  <si>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</si>
  <si>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</si>
  <si>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</si>
  <si>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</si>
  <si>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</si>
  <si>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</si>
  <si>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</si>
  <si>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</si>
  <si>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</si>
  <si>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</si>
  <si>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</si>
  <si>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</si>
  <si>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</si>
  <si>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</si>
  <si>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</si>
  <si>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</si>
  <si>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</si>
  <si>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</si>
  <si>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</si>
  <si>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</si>
  <si>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</si>
  <si>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</si>
  <si>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</si>
  <si>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</si>
  <si>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</si>
  <si>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</si>
  <si>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</si>
  <si>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</si>
  <si>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</si>
  <si>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</si>
  <si>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</si>
  <si>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</si>
  <si>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</si>
  <si>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</si>
  <si>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</si>
  <si>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</si>
  <si>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</si>
  <si>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</si>
  <si>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</si>
  <si>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</si>
  <si>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</si>
  <si>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</si>
  <si>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</si>
  <si>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</si>
  <si>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</si>
  <si>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</si>
  <si>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</si>
  <si>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</si>
  <si>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</si>
  <si>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</si>
  <si>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</si>
  <si>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</si>
  <si>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</si>
  <si>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</si>
  <si>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</si>
  <si>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</si>
  <si>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</si>
  <si>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</si>
  <si>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</si>
  <si>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</si>
  <si>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</si>
  <si>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</si>
  <si>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</si>
  <si>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</si>
  <si>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</si>
  <si>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</si>
  <si>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</si>
  <si>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</si>
  <si>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</si>
  <si>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</si>
  <si>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</si>
  <si>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</si>
  <si>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</si>
  <si>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</si>
  <si>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</si>
  <si>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</si>
  <si>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</si>
  <si>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</si>
  <si>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</si>
  <si>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</si>
  <si>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</si>
  <si>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</si>
  <si>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</si>
  <si>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</si>
  <si>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</si>
  <si>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</si>
  <si>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</si>
  <si>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</si>
  <si>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</si>
  <si>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</si>
  <si>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</si>
  <si>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</si>
  <si>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</si>
  <si>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</si>
  <si>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</si>
  <si>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</si>
  <si>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</si>
  <si>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</si>
  <si>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</si>
  <si>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</si>
  <si>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</si>
  <si>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</si>
  <si>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</si>
  <si>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</si>
  <si>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</si>
  <si>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</si>
  <si>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</si>
  <si>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</si>
  <si>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</si>
  <si>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</si>
  <si>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</si>
  <si>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</si>
  <si>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</si>
  <si>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</si>
  <si>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</si>
  <si>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</si>
  <si>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</si>
  <si>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</si>
  <si>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</si>
  <si>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</si>
  <si>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</si>
  <si>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</si>
  <si>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</si>
  <si>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</si>
  <si>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</si>
  <si>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</si>
  <si>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</si>
  <si>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</si>
  <si>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</si>
  <si>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</si>
  <si>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</si>
  <si>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</si>
  <si>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</si>
  <si>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</si>
  <si>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</si>
  <si>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</si>
  <si>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</si>
  <si>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</si>
  <si>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</si>
  <si>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</si>
  <si>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</si>
  <si>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</si>
  <si>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</si>
  <si>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</si>
  <si>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</si>
  <si>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</si>
  <si>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</si>
  <si>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</si>
  <si>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</si>
  <si>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</si>
  <si>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</si>
  <si>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</si>
  <si>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</si>
  <si>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</si>
  <si>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</si>
  <si>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</si>
  <si>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</si>
  <si>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</si>
  <si>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</si>
  <si>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</si>
  <si>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</si>
  <si>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</si>
  <si>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</si>
  <si>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</si>
  <si>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</si>
  <si>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</si>
  <si>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</si>
  <si>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</si>
  <si>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</si>
  <si>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</si>
  <si>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</si>
  <si>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</si>
  <si>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</si>
  <si>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</si>
  <si>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</si>
  <si>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</si>
  <si>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</si>
  <si>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</si>
  <si>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</si>
  <si>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</si>
  <si>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</si>
  <si>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</si>
  <si>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</si>
  <si>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</si>
  <si>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</si>
  <si>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</si>
  <si>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</si>
  <si>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</si>
  <si>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</si>
  <si>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</si>
  <si>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</si>
  <si>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</si>
  <si>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</si>
  <si>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</si>
  <si>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</si>
  <si>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</si>
  <si>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</si>
  <si>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</si>
  <si>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</si>
  <si>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</si>
  <si>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</si>
  <si>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</si>
  <si>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</si>
  <si>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</si>
  <si>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</si>
  <si>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</si>
  <si>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</si>
  <si>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</si>
  <si>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</si>
  <si>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</si>
  <si>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</si>
  <si>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</si>
  <si>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</si>
  <si>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</si>
  <si>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</si>
  <si>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</si>
  <si>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</si>
  <si>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</si>
  <si>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</si>
  <si>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</si>
  <si>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</si>
  <si>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</si>
  <si>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</si>
  <si>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</si>
  <si>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</si>
  <si>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</si>
  <si>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</si>
  <si>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</si>
  <si>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</si>
  <si>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</si>
  <si>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</si>
  <si>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</si>
  <si>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</si>
  <si>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</si>
  <si>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</si>
  <si>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</si>
  <si>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</si>
  <si>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</si>
  <si>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</si>
  <si>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</si>
  <si>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</si>
  <si>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</si>
  <si>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</si>
  <si>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</si>
  <si>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</si>
  <si>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</si>
  <si>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</si>
  <si>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</si>
  <si>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</si>
  <si>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</si>
  <si>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</si>
  <si>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</si>
  <si>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</si>
  <si>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</si>
  <si>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</si>
  <si>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</si>
  <si>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</si>
  <si>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</si>
  <si>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</si>
  <si>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</si>
  <si>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</si>
  <si>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</si>
  <si>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</si>
  <si>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</si>
  <si>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</si>
  <si>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</si>
  <si>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</si>
  <si>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</si>
  <si>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</si>
  <si>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</si>
  <si>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</si>
  <si>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</si>
  <si>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</si>
  <si>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</si>
  <si>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</si>
  <si>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</si>
  <si>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</si>
  <si>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</si>
  <si>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</si>
  <si>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</si>
  <si>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</si>
  <si>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</si>
  <si>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</si>
  <si>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</si>
  <si>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</si>
  <si>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</si>
  <si>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</si>
  <si>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</si>
  <si>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</si>
  <si>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</si>
  <si>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</si>
  <si>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</si>
  <si>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</si>
  <si>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</si>
  <si>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</si>
  <si>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</si>
  <si>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</si>
  <si>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</si>
  <si>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</si>
  <si>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</si>
  <si>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</si>
  <si>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</si>
  <si>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</si>
  <si>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</si>
  <si>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</si>
  <si>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</si>
  <si>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</si>
  <si>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</si>
  <si>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</si>
  <si>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</si>
  <si>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</si>
  <si>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</si>
  <si>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</si>
  <si>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</si>
  <si>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</si>
  <si>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</si>
  <si>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</si>
  <si>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</si>
  <si>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</si>
  <si>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</si>
  <si>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</si>
  <si>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</si>
  <si>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</si>
  <si>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</si>
  <si>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</si>
  <si>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</si>
  <si>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</si>
  <si>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</si>
  <si>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</si>
  <si>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</si>
  <si>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</si>
  <si>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</si>
  <si>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</si>
  <si>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</si>
  <si>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</si>
  <si>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</si>
  <si>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</si>
  <si>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</si>
  <si>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</si>
  <si>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</si>
  <si>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</si>
  <si>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</si>
  <si>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</si>
  <si>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</si>
  <si>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</si>
  <si>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</si>
  <si>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</si>
  <si>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</si>
  <si>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</si>
  <si>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</si>
  <si>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</si>
  <si>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</si>
  <si>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</si>
  <si>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</si>
  <si>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</si>
  <si>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</si>
  <si>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</si>
  <si>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</si>
  <si>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</si>
  <si>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</si>
  <si>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</si>
  <si>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</si>
  <si>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</si>
  <si>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</si>
  <si>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</si>
  <si>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</si>
  <si>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</si>
  <si>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</si>
  <si>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</si>
  <si>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</si>
  <si>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</si>
  <si>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</si>
  <si>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</si>
  <si>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</si>
  <si>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</si>
  <si>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</si>
  <si>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</si>
  <si>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</si>
  <si>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</si>
  <si>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</si>
  <si>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</si>
  <si>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</si>
  <si>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</si>
  <si>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</si>
  <si>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</si>
  <si>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</si>
  <si>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</si>
  <si>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</si>
  <si>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</si>
  <si>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</si>
  <si>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</si>
  <si>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</si>
  <si>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</si>
  <si>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</si>
  <si>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</si>
  <si>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</si>
  <si>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</si>
  <si>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</si>
  <si>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</si>
  <si>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</si>
  <si>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</si>
  <si>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</si>
  <si>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</si>
  <si>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</si>
  <si>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</si>
  <si>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</si>
  <si>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</si>
  <si>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</si>
  <si>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</si>
  <si>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</si>
  <si>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</si>
  <si>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</si>
  <si>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</si>
  <si>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</si>
  <si>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</si>
  <si>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</si>
  <si>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</si>
  <si>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</si>
  <si>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</si>
  <si>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</si>
  <si>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</si>
  <si>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</si>
  <si>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</si>
  <si>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</si>
  <si>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</si>
  <si>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</si>
  <si>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</si>
  <si>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</si>
  <si>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</si>
  <si>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</si>
  <si>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</si>
  <si>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</si>
  <si>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</si>
  <si>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</si>
  <si>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</si>
  <si>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</si>
  <si>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</si>
  <si>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</si>
  <si>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</si>
  <si>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</si>
  <si>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</si>
  <si>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</si>
  <si>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</si>
  <si>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</si>
  <si>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</si>
  <si>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</si>
  <si>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</si>
  <si>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</si>
  <si>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</si>
  <si>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</si>
  <si>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</si>
  <si>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</si>
  <si>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</si>
  <si>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</si>
  <si>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</si>
  <si>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</si>
  <si>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</si>
  <si>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</si>
  <si>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</si>
  <si>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</si>
  <si>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</si>
  <si>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</si>
  <si>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</si>
  <si>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</si>
  <si>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</si>
  <si>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</si>
  <si>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</si>
  <si>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</si>
  <si>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</si>
  <si>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</si>
  <si>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</si>
  <si>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</si>
  <si>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</si>
  <si>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</si>
  <si>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</si>
  <si>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</si>
  <si>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</si>
  <si>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</si>
  <si>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</si>
  <si>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</si>
  <si>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</si>
  <si>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</si>
  <si>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</si>
  <si>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</si>
  <si>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</si>
  <si>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</si>
  <si>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</si>
  <si>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</si>
  <si>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</si>
  <si>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</si>
  <si>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</si>
  <si>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</si>
  <si>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</si>
  <si>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</si>
  <si>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</si>
  <si>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</si>
  <si>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</si>
  <si>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</si>
  <si>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</si>
  <si>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</si>
  <si>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</si>
  <si>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</si>
  <si>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</si>
  <si>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</si>
  <si>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</si>
  <si>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</si>
  <si>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</si>
  <si>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</si>
  <si>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</si>
  <si>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</si>
  <si>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</si>
  <si>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</si>
  <si>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</si>
  <si>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</si>
  <si>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</si>
  <si>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</si>
  <si>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</si>
  <si>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</si>
  <si>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</si>
  <si>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</si>
  <si>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</si>
  <si>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</si>
  <si>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</si>
  <si>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</si>
  <si>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</si>
  <si>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</si>
  <si>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</si>
  <si>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</si>
  <si>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</si>
  <si>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</si>
  <si>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</si>
  <si>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</si>
  <si>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</si>
  <si>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</si>
  <si>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</si>
  <si>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</si>
  <si>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</si>
  <si>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</si>
  <si>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</si>
  <si>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</si>
  <si>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</si>
  <si>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</si>
  <si>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</si>
  <si>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</si>
  <si>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</si>
  <si>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</si>
  <si>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</si>
  <si>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</si>
  <si>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</si>
  <si>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</si>
  <si>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</si>
  <si>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</si>
  <si>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</si>
  <si>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</si>
  <si>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</si>
  <si>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</si>
  <si>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</si>
  <si>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</si>
  <si>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</si>
  <si>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</si>
  <si>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</si>
  <si>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</si>
  <si>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</si>
  <si>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</si>
  <si>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</si>
  <si>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</si>
  <si>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</si>
  <si>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</si>
  <si>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</si>
  <si>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</si>
  <si>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</si>
  <si>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</si>
  <si>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</si>
  <si>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</si>
  <si>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</si>
  <si>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</si>
  <si>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</si>
  <si>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</si>
  <si>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</si>
  <si>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</si>
  <si>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</si>
  <si>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</si>
  <si>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</si>
  <si>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</si>
  <si>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</si>
  <si>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</si>
  <si>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</si>
  <si>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</si>
  <si>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</si>
  <si>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</si>
  <si>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</si>
  <si>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</si>
  <si>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</si>
  <si>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</si>
  <si>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</si>
  <si>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</si>
  <si>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</si>
  <si>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</si>
  <si>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</si>
  <si>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</si>
  <si>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</si>
  <si>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</si>
  <si>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</si>
  <si>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</si>
  <si>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</si>
  <si>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</si>
  <si>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</si>
  <si>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</si>
  <si>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</si>
  <si>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</si>
  <si>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</si>
  <si>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</si>
  <si>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</si>
  <si>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</si>
  <si>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</si>
  <si>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</si>
  <si>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</si>
  <si>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</si>
  <si>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</si>
  <si>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</si>
  <si>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</si>
  <si>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</si>
  <si>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</si>
  <si>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</si>
  <si>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</si>
  <si>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</si>
  <si>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</si>
  <si>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</si>
  <si>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</si>
  <si>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</si>
  <si>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</si>
  <si>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</si>
  <si>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</si>
  <si>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</si>
  <si>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</si>
  <si>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</si>
  <si>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</si>
  <si>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</si>
  <si>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</si>
  <si>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</si>
  <si>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</si>
  <si>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</si>
  <si>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</si>
  <si>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</si>
  <si>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</si>
  <si>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</si>
  <si>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</si>
  <si>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</si>
  <si>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</si>
  <si>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</si>
  <si>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</si>
  <si>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</si>
  <si>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</si>
  <si>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</si>
  <si>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</si>
  <si>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</si>
  <si>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</si>
  <si>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</si>
  <si>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</si>
  <si>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</si>
  <si>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</si>
  <si>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</si>
  <si>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</si>
  <si>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</si>
  <si>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</si>
  <si>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</si>
  <si>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</si>
  <si>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</si>
  <si>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</si>
  <si>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</si>
  <si>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</si>
  <si>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</si>
  <si>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</si>
  <si>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</si>
  <si>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</si>
  <si>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</si>
  <si>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</si>
  <si>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</si>
  <si>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</si>
  <si>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</si>
  <si>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</si>
  <si>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</si>
  <si>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</si>
  <si>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</si>
  <si>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</si>
  <si>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</si>
  <si>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</si>
  <si>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</si>
  <si>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</si>
  <si>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</si>
  <si>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</si>
  <si>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</si>
  <si>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</si>
  <si>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</si>
  <si>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</si>
  <si>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</si>
  <si>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</si>
  <si>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</si>
  <si>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</si>
  <si>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</si>
  <si>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</si>
  <si>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</si>
  <si>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</si>
  <si>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</si>
  <si>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</si>
  <si>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</si>
  <si>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</si>
  <si>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</si>
  <si>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</si>
  <si>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</si>
  <si>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</si>
  <si>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</si>
  <si>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</si>
  <si>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</si>
  <si>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</si>
  <si>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</si>
  <si>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</si>
  <si>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</si>
  <si>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</si>
  <si>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</si>
  <si>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</si>
  <si>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</si>
  <si>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</si>
  <si>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</si>
  <si>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</si>
  <si>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</si>
  <si>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</si>
  <si>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</si>
  <si>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</si>
  <si>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</si>
  <si>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</si>
  <si>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</si>
  <si>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</si>
  <si>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</si>
  <si>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</si>
  <si>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</si>
  <si>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</si>
  <si>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</si>
  <si>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</si>
  <si>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</si>
  <si>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</si>
  <si>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</si>
  <si>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</si>
  <si>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</si>
  <si>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</si>
  <si>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</si>
  <si>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</si>
  <si>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</si>
  <si>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</si>
  <si>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</si>
  <si>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</si>
  <si>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</si>
  <si>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</si>
  <si>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</si>
  <si>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</si>
  <si>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</si>
  <si>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</si>
  <si>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</si>
  <si>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</si>
  <si>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</si>
  <si>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</si>
  <si>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</si>
  <si>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</si>
  <si>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</si>
  <si>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</si>
  <si>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</si>
  <si>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</si>
  <si>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</si>
  <si>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</si>
  <si>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</si>
  <si>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</si>
  <si>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</si>
  <si>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</si>
  <si>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</si>
  <si>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</si>
  <si>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</si>
  <si>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</si>
  <si>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</si>
  <si>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</si>
  <si>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</si>
  <si>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</si>
  <si>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</si>
  <si>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</si>
  <si>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</si>
  <si>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</si>
  <si>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</si>
  <si>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</si>
  <si>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</si>
  <si>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</si>
  <si>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</si>
  <si>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</si>
  <si>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</si>
  <si>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</si>
  <si>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</si>
  <si>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</si>
  <si>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</si>
  <si>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</si>
  <si>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</si>
  <si>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</si>
  <si>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</si>
  <si>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</si>
  <si>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</si>
  <si>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</si>
  <si>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</si>
  <si>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</si>
  <si>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</si>
  <si>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</si>
  <si>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</si>
  <si>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</si>
  <si>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</si>
  <si>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</si>
  <si>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</si>
  <si>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</si>
  <si>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</si>
  <si>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</si>
  <si>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</si>
  <si>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</si>
  <si>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</si>
  <si>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</si>
  <si>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</si>
  <si>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</si>
  <si>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</si>
  <si>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</si>
  <si>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</si>
  <si>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</si>
  <si>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</si>
  <si>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</si>
  <si>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</si>
  <si>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</si>
  <si>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</si>
  <si>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</si>
  <si>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</si>
  <si>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</si>
  <si>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</si>
  <si>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</si>
  <si>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</si>
  <si>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</si>
  <si>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</si>
  <si>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</si>
  <si>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</si>
  <si>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</si>
  <si>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</si>
  <si>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</si>
  <si>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</si>
  <si>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</si>
  <si>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</si>
  <si>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</si>
  <si>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</si>
  <si>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</si>
  <si>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</si>
  <si>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</si>
  <si>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</si>
  <si>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</si>
  <si>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</si>
  <si>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</si>
  <si>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</si>
  <si>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</si>
  <si>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</si>
  <si>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</si>
  <si>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</si>
  <si>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</si>
  <si>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</si>
  <si>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</si>
  <si>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</si>
  <si>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</si>
  <si>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</si>
  <si>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</si>
  <si>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</si>
  <si>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</si>
  <si>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</si>
  <si>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</si>
  <si>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</si>
  <si>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</si>
  <si>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</si>
  <si>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</si>
  <si>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</si>
  <si>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</si>
  <si>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</si>
  <si>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</si>
  <si>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</si>
  <si>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</si>
  <si>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</si>
  <si>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</si>
  <si>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</si>
  <si>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</si>
  <si>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</si>
  <si>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</si>
  <si>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</si>
  <si>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</si>
  <si>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</si>
  <si>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</si>
  <si>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</si>
  <si>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</si>
  <si>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</si>
  <si>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</si>
  <si>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</si>
  <si>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</si>
  <si>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</si>
  <si>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</si>
  <si>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</si>
  <si>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</si>
  <si>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</si>
  <si>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</si>
  <si>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</si>
  <si>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</si>
  <si>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</si>
  <si>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</si>
  <si>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</si>
  <si>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</si>
  <si>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</si>
  <si>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</si>
  <si>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</si>
  <si>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</si>
  <si>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</si>
  <si>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</si>
  <si>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</si>
  <si>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</si>
  <si>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</si>
  <si>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</si>
  <si>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</si>
  <si>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</si>
  <si>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</si>
  <si>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</si>
  <si>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</si>
  <si>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</si>
  <si>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</si>
  <si>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</si>
  <si>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</si>
  <si>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</si>
  <si>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</si>
  <si>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</si>
  <si>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</si>
  <si>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</si>
  <si>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</si>
  <si>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</si>
  <si>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</si>
  <si>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</si>
  <si>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</si>
  <si>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</si>
  <si>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</si>
  <si>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</si>
  <si>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</si>
  <si>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</si>
  <si>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</si>
  <si>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</si>
  <si>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</si>
  <si>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</si>
  <si>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</si>
  <si>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</si>
  <si>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</si>
  <si>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</si>
  <si>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</si>
  <si>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</si>
  <si>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</si>
  <si>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</si>
  <si>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</si>
  <si>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</si>
  <si>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</si>
  <si>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</si>
  <si>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</si>
  <si>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</si>
  <si>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</si>
  <si>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</si>
  <si>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</si>
  <si>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</si>
  <si>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</si>
  <si>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</si>
  <si>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</si>
  <si>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</si>
  <si>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</si>
  <si>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</si>
  <si>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</si>
  <si>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</si>
  <si>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</si>
  <si>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</si>
  <si>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</si>
  <si>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</si>
  <si>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</si>
  <si>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</si>
  <si>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</si>
  <si>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</si>
  <si>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</si>
  <si>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</si>
  <si>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</si>
  <si>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</si>
  <si>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</si>
  <si>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</si>
  <si>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</si>
  <si>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</si>
  <si>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</si>
  <si>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</si>
  <si>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</si>
  <si>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</si>
  <si>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</si>
  <si>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</si>
  <si>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</si>
  <si>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</si>
  <si>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</si>
  <si>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</si>
  <si>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</si>
  <si>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</si>
  <si>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</si>
  <si>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</si>
  <si>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</si>
  <si>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</si>
  <si>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</si>
  <si>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</si>
  <si>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</si>
  <si>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</si>
  <si>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</si>
  <si>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</si>
  <si>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</si>
  <si>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</si>
  <si>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</si>
  <si>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</si>
  <si>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</si>
  <si>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</si>
  <si>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</si>
  <si>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</si>
  <si>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</si>
  <si>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</si>
  <si>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</si>
  <si>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</si>
  <si>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</si>
  <si>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</si>
  <si>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</si>
  <si>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</si>
  <si>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</si>
  <si>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</si>
  <si>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</si>
  <si>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</si>
  <si>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</si>
  <si>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</si>
  <si>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</si>
  <si>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</si>
  <si>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</si>
  <si>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</si>
  <si>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</si>
  <si>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</si>
  <si>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</si>
  <si>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</si>
  <si>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</si>
  <si>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</si>
  <si>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</si>
  <si>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</si>
  <si>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</si>
  <si>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</si>
  <si>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</si>
  <si>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</si>
  <si>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</si>
  <si>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</si>
  <si>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</si>
  <si>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</si>
  <si>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</si>
  <si>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</si>
  <si>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</si>
  <si>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</si>
  <si>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</si>
  <si>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</si>
  <si>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</si>
  <si>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</si>
  <si>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</si>
  <si>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</si>
  <si>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</si>
  <si>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</si>
  <si>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</si>
  <si>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</si>
  <si>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</si>
  <si>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</si>
  <si>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</si>
  <si>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</si>
  <si>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</si>
  <si>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</si>
  <si>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</si>
  <si>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</si>
  <si>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</si>
  <si>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</si>
  <si>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</si>
  <si>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</si>
  <si>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</si>
  <si>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</si>
  <si>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</si>
  <si>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</si>
  <si>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</si>
  <si>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</si>
  <si>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</si>
  <si>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</si>
  <si>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</si>
  <si>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</si>
  <si>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</si>
  <si>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</si>
  <si>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</si>
  <si>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</si>
  <si>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</si>
  <si>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</si>
  <si>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</si>
  <si>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</si>
  <si>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</si>
  <si>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</si>
  <si>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</si>
  <si>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</si>
  <si>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</si>
  <si>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</si>
  <si>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</si>
  <si>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</si>
  <si>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</si>
  <si>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</si>
  <si>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</si>
  <si>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</si>
  <si>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</si>
  <si>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</si>
  <si>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</si>
  <si>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</si>
  <si>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</si>
  <si>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</si>
  <si>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</si>
  <si>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</si>
  <si>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</si>
  <si>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</si>
  <si>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</si>
  <si>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</si>
  <si>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</si>
  <si>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</si>
  <si>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</si>
  <si>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</si>
  <si>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</si>
  <si>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</si>
  <si>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</si>
  <si>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</si>
  <si>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</si>
  <si>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</si>
  <si>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</si>
  <si>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</si>
  <si>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</si>
  <si>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</si>
  <si>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</si>
  <si>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</si>
  <si>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</si>
  <si>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</si>
  <si>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</si>
  <si>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</si>
  <si>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</si>
  <si>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</si>
  <si>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</si>
  <si>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</si>
  <si>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</si>
  <si>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</si>
  <si>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</si>
  <si>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</si>
  <si>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</si>
  <si>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</si>
  <si>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</si>
  <si>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</si>
  <si>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</si>
  <si>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</si>
  <si>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</si>
  <si>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</si>
  <si>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</si>
  <si>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</si>
  <si>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</si>
  <si>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</si>
  <si>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</si>
  <si>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</si>
  <si>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</si>
  <si>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</si>
  <si>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</si>
  <si>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</si>
  <si>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</si>
  <si>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</si>
  <si>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</si>
  <si>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</si>
  <si>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</si>
  <si>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</si>
  <si>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</si>
  <si>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</si>
  <si>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</si>
  <si>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</si>
  <si>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</si>
  <si>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</si>
  <si>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</si>
  <si>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</si>
  <si>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</si>
  <si>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</si>
  <si>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</si>
  <si>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</si>
  <si>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</si>
  <si>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</si>
  <si>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</si>
  <si>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</si>
  <si>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</si>
  <si>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</si>
  <si>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</si>
  <si>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</si>
  <si>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</si>
  <si>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</si>
  <si>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</si>
  <si>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</si>
  <si>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</si>
  <si>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</si>
  <si>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</si>
  <si>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</si>
  <si>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</si>
  <si>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</si>
  <si>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</si>
  <si>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</si>
  <si>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</si>
  <si>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</si>
  <si>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</si>
  <si>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</si>
  <si>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</si>
  <si>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</si>
  <si>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</si>
  <si>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</si>
  <si>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</si>
  <si>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</si>
  <si>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</si>
  <si>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</si>
  <si>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</si>
  <si>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</si>
  <si>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</si>
  <si>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</si>
  <si>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</si>
  <si>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</si>
  <si>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</si>
  <si>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</si>
  <si>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</si>
  <si>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</si>
  <si>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</si>
  <si>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</si>
  <si>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</si>
  <si>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</si>
  <si>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</si>
  <si>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</si>
  <si>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</si>
  <si>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</si>
  <si>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</si>
  <si>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</si>
  <si>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</si>
  <si>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</si>
  <si>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</si>
  <si>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</si>
  <si>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</si>
  <si>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</si>
  <si>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</si>
  <si>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</si>
  <si>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</si>
  <si>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</si>
  <si>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</si>
  <si>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</si>
  <si>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</si>
  <si>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</si>
  <si>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</si>
  <si>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</si>
  <si>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</si>
  <si>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</si>
  <si>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</si>
  <si>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</si>
  <si>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</si>
  <si>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</si>
  <si>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</si>
  <si>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</si>
  <si>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</si>
  <si>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</si>
  <si>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</si>
  <si>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</si>
  <si>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</si>
  <si>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</si>
  <si>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</si>
  <si>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</si>
  <si>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</si>
  <si>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</si>
  <si>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</si>
  <si>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</si>
  <si>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</si>
  <si>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</si>
  <si>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</si>
  <si>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</si>
  <si>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</si>
  <si>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</si>
  <si>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</si>
  <si>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</si>
  <si>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</si>
  <si>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</si>
  <si>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</si>
  <si>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</si>
  <si>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</si>
  <si>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</si>
  <si>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</si>
  <si>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</si>
  <si>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</si>
  <si>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</si>
  <si>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</si>
  <si>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</si>
  <si>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</si>
  <si>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</si>
  <si>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</si>
  <si>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</si>
  <si>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</si>
  <si>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</si>
  <si>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</si>
  <si>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</si>
  <si>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</si>
  <si>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</si>
  <si>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</si>
  <si>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</si>
  <si>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</si>
  <si>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</si>
  <si>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</si>
  <si>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</si>
  <si>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</si>
  <si>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</si>
  <si>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</si>
  <si>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</si>
  <si>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</si>
  <si>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</si>
  <si>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</si>
  <si>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</si>
  <si>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</si>
  <si>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</si>
  <si>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</si>
  <si>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</si>
  <si>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</si>
  <si>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</si>
  <si>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</si>
  <si>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</si>
  <si>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</si>
  <si>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</si>
  <si>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</si>
  <si>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</si>
  <si>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</si>
  <si>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</si>
  <si>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</si>
  <si>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</si>
  <si>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</si>
  <si>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</si>
  <si>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</si>
  <si>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</si>
  <si>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</si>
  <si>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</si>
  <si>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</si>
  <si>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</si>
  <si>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</si>
  <si>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</si>
  <si>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</si>
  <si>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</si>
  <si>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</si>
  <si>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</si>
  <si>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</si>
  <si>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</si>
  <si>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</si>
  <si>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</si>
  <si>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</si>
  <si>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</si>
  <si>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</si>
  <si>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</si>
  <si>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</si>
  <si>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</si>
  <si>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</si>
  <si>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</si>
  <si>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</si>
  <si>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</si>
  <si>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</si>
  <si>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</si>
  <si>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</si>
  <si>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</si>
  <si>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</si>
  <si>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DWP</t>
  </si>
  <si>
    <t>Divya Sharma</t>
  </si>
  <si>
    <t>KKL</t>
  </si>
  <si>
    <t>*Marc Delorme</t>
  </si>
  <si>
    <t>RDL</t>
  </si>
  <si>
    <t>LPC</t>
  </si>
  <si>
    <t>Mike Biechler</t>
  </si>
  <si>
    <t>BTS</t>
  </si>
  <si>
    <t>*Nick Grube (Civil Beat)</t>
  </si>
  <si>
    <t>*Steven Rich (The Washington Post)</t>
  </si>
  <si>
    <t>*Shirl Benda</t>
  </si>
  <si>
    <t>*Bethany Yarger</t>
  </si>
  <si>
    <t>*Allyson Blair</t>
  </si>
  <si>
    <t>*Evan Simko-Bedarski</t>
  </si>
  <si>
    <t>RMY</t>
  </si>
  <si>
    <t>*Christina Jedra</t>
  </si>
  <si>
    <t>MKC</t>
  </si>
  <si>
    <t>Bickerton Law Group, LLLP</t>
  </si>
  <si>
    <t>NW</t>
  </si>
  <si>
    <t>Karen Tashima</t>
  </si>
  <si>
    <t>Lesley Harvey</t>
  </si>
  <si>
    <t>EHN</t>
  </si>
  <si>
    <t>Pohai Ryan</t>
  </si>
  <si>
    <t>*Patrick Watson (Honua Consulting)</t>
  </si>
  <si>
    <t>~PAU~</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</si>
</sst>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8" fontId="27" fillId="0" borderId="14" xfId="0" applyNumberFormat="1"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1" zoomScaleNormal="100" zoomScaleSheetLayoutView="30" zoomScalePageLayoutView="50" workbookViewId="0">
      <pane xSplit="4" ySplit="3" topLeftCell="G21" activePane="bottomRight" state="frozen"/>
      <selection activeCell="C1" sqref="C1"/>
      <selection pane="topRight" activeCell="G1" sqref="G1"/>
      <selection pane="bottomLeft" activeCell="C4" sqref="C4"/>
      <selection pane="bottomRight" activeCell="K33" sqref="K3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17</v>
      </c>
      <c r="D10" s="558">
        <f>COUNTIF(D12:D1011,"*~**")</f>
        <v>9</v>
      </c>
      <c r="E10" s="559"/>
      <c r="F10" s="560">
        <f>COUNTIF(F12:F1011,"x")</f>
        <v>0</v>
      </c>
      <c r="G10" s="561">
        <f>COUNTA(G12:G1011)-(COUNTA(G12:G1011)-COUNT(G12:G1011))</f>
        <v>16</v>
      </c>
      <c r="H10" s="561">
        <f>COUNTA(H12:H1011)-(COUNTA(H12:H1011)-COUNT(H12:H1011))</f>
        <v>16</v>
      </c>
      <c r="I10" s="562">
        <f>COUNTIF(I12:I1011,"x")</f>
        <v>15</v>
      </c>
      <c r="J10" s="563">
        <f>COUNTIF(J12:J1011,"x")</f>
        <v>2</v>
      </c>
      <c r="K10" s="564">
        <f>COUNTIF(K12:K1011,"x")</f>
        <v>5</v>
      </c>
      <c r="L10" s="565">
        <f>COUNTIF(L12:L1011,"x")</f>
        <v>3</v>
      </c>
      <c r="M10" s="564">
        <f>COUNTA(M12:M1011)</f>
        <v>13</v>
      </c>
      <c r="N10" s="566">
        <f>SUM(AW12:AW1011)</f>
        <v>354</v>
      </c>
      <c r="O10" s="567">
        <f t="shared" ref="O10:U10" si="10">COUNTIF(O12:O1011,"x")</f>
        <v>3</v>
      </c>
      <c r="P10" s="567">
        <f t="shared" si="10"/>
        <v>1</v>
      </c>
      <c r="Q10" s="567">
        <f t="shared" si="10"/>
        <v>4</v>
      </c>
      <c r="R10" s="567">
        <f t="shared" si="10"/>
        <v>4</v>
      </c>
      <c r="S10" s="567">
        <f>COUNTIF(S12:S1011,"x")</f>
        <v>0</v>
      </c>
      <c r="T10" s="567">
        <f t="shared" si="10"/>
        <v>0</v>
      </c>
      <c r="U10" s="568">
        <f t="shared" si="10"/>
        <v>0</v>
      </c>
      <c r="V10" s="569">
        <f>SUM(V12:V1011)</f>
        <v>15</v>
      </c>
      <c r="W10" s="570">
        <f t="shared" ref="W10:AA10" si="11">SUM(W12:W1011)</f>
        <v>9</v>
      </c>
      <c r="X10" s="571">
        <f t="shared" si="11"/>
        <v>0</v>
      </c>
      <c r="Y10" s="571">
        <f>SUM(Y12:Y1011)</f>
        <v>24</v>
      </c>
      <c r="Z10" s="572">
        <f t="shared" si="11"/>
        <v>330</v>
      </c>
      <c r="AA10" s="573">
        <f t="shared" si="11"/>
        <v>0</v>
      </c>
      <c r="AB10" s="574">
        <f>COUNTIFS(AB12:AB1011,-30,Z12:Z1011,"&gt;0")</f>
        <v>2</v>
      </c>
      <c r="AC10" s="575">
        <f>COUNTIFS(AC12:AC1011,"x",Z12:Z1011,"&gt;0")</f>
        <v>1</v>
      </c>
      <c r="AD10" s="572">
        <f>SUMIF(AD12:AD1011,"&lt;0")</f>
        <v>0</v>
      </c>
      <c r="AE10" s="576">
        <f>SUMIFS(AE12:AE1011,AE12:AE1011,"&gt;0",Z12:Z1011,"&gt;0")</f>
        <v>210</v>
      </c>
      <c r="AF10" s="577">
        <f t="shared" ref="AF10:BH10" si="12">SUMIF(AF12:AF1011,"&gt;0")</f>
        <v>0</v>
      </c>
      <c r="AG10" s="578">
        <f t="shared" si="12"/>
        <v>50</v>
      </c>
      <c r="AH10" s="577">
        <f t="shared" si="12"/>
        <v>120</v>
      </c>
      <c r="AI10" s="579">
        <f t="shared" si="12"/>
        <v>260</v>
      </c>
      <c r="AJ10" s="579">
        <f t="shared" si="12"/>
        <v>330</v>
      </c>
      <c r="AK10" s="578">
        <f t="shared" si="12"/>
        <v>210</v>
      </c>
      <c r="AL10" s="577">
        <f t="shared" si="12"/>
        <v>120</v>
      </c>
      <c r="AM10" s="579">
        <f t="shared" si="12"/>
        <v>240</v>
      </c>
      <c r="AN10" s="579">
        <f t="shared" si="12"/>
        <v>250</v>
      </c>
      <c r="AO10" s="578">
        <f t="shared" si="12"/>
        <v>130</v>
      </c>
      <c r="AP10" s="580">
        <f>COUNT(AP12:AP1011)</f>
        <v>0</v>
      </c>
      <c r="AQ10" s="581">
        <f t="shared" ref="AQ10:AV10" si="13">COUNT(AQ12:AQ1011)</f>
        <v>0</v>
      </c>
      <c r="AR10" s="581">
        <f t="shared" si="13"/>
        <v>0</v>
      </c>
      <c r="AS10" s="581">
        <f t="shared" si="13"/>
        <v>1</v>
      </c>
      <c r="AT10" s="581">
        <f>COUNT(AT12:AT1011)</f>
        <v>0</v>
      </c>
      <c r="AU10" s="581">
        <f t="shared" si="13"/>
        <v>0</v>
      </c>
      <c r="AV10" s="582">
        <f t="shared" si="13"/>
        <v>0</v>
      </c>
      <c r="AW10" s="580">
        <f t="shared" si="12"/>
        <v>354</v>
      </c>
      <c r="AX10" s="581">
        <f t="shared" si="12"/>
        <v>240</v>
      </c>
      <c r="AY10" s="581">
        <f t="shared" si="12"/>
        <v>114</v>
      </c>
      <c r="AZ10" s="582">
        <f t="shared" si="12"/>
        <v>0</v>
      </c>
      <c r="BA10" s="583">
        <f t="shared" si="12"/>
        <v>15</v>
      </c>
      <c r="BB10" s="584">
        <f>SUMIF(BB12:BB1011,"&gt;0")</f>
        <v>11</v>
      </c>
      <c r="BC10" s="584">
        <f t="shared" si="12"/>
        <v>4</v>
      </c>
      <c r="BD10" s="585">
        <f t="shared" si="12"/>
        <v>0</v>
      </c>
      <c r="BE10" s="586">
        <f t="shared" si="12"/>
        <v>9</v>
      </c>
      <c r="BF10" s="584">
        <f t="shared" si="12"/>
        <v>7</v>
      </c>
      <c r="BG10" s="584">
        <f t="shared" si="12"/>
        <v>2</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f>N10/M10</f>
        <v>27.23076923076923</v>
      </c>
      <c r="O11" s="228"/>
      <c r="P11" s="228"/>
      <c r="Q11" s="228"/>
      <c r="R11" s="228"/>
      <c r="S11" s="228"/>
      <c r="T11" s="228"/>
      <c r="U11" s="229"/>
      <c r="V11" s="387">
        <f t="shared" ref="V11:AA11" si="14">AVERAGEIF(V12:V1011,"&lt;&gt;0")</f>
        <v>5</v>
      </c>
      <c r="W11" s="387">
        <f t="shared" si="14"/>
        <v>3</v>
      </c>
      <c r="X11" s="387" t="e">
        <f t="shared" si="14"/>
        <v>#DIV/0!</v>
      </c>
      <c r="Y11" s="387">
        <f t="shared" si="14"/>
        <v>8</v>
      </c>
      <c r="Z11" s="381">
        <f>AVERAGEIF(Z12:Z1011,"&lt;&gt;0")</f>
        <v>110</v>
      </c>
      <c r="AA11" s="381" t="e">
        <f t="shared" si="14"/>
        <v>#DIV/0!</v>
      </c>
      <c r="AB11" s="388"/>
      <c r="AC11" s="387"/>
      <c r="AD11" s="379" t="e">
        <f>AVERAGEIF(AD12:AD1011,"&lt;0")</f>
        <v>#DIV/0!</v>
      </c>
      <c r="AE11" s="427">
        <f>AVERAGEIFS(AE12:AE1011,AE12:AE1011,"&gt;0",Z12:Z1011,"&gt;0")</f>
        <v>105</v>
      </c>
      <c r="AF11" s="230" t="e">
        <f t="shared" ref="AF11:BH11" si="15">AVERAGEIF(AF12:AF1011,"&gt;0")</f>
        <v>#DIV/0!</v>
      </c>
      <c r="AG11" s="231">
        <f t="shared" si="15"/>
        <v>50</v>
      </c>
      <c r="AH11" s="232">
        <f t="shared" si="15"/>
        <v>120</v>
      </c>
      <c r="AI11" s="233">
        <f t="shared" si="15"/>
        <v>130</v>
      </c>
      <c r="AJ11" s="233">
        <f t="shared" si="15"/>
        <v>110</v>
      </c>
      <c r="AK11" s="234">
        <f t="shared" si="15"/>
        <v>70</v>
      </c>
      <c r="AL11" s="232">
        <f t="shared" si="15"/>
        <v>120</v>
      </c>
      <c r="AM11" s="233">
        <f t="shared" si="15"/>
        <v>240</v>
      </c>
      <c r="AN11" s="233">
        <f t="shared" si="15"/>
        <v>250</v>
      </c>
      <c r="AO11" s="234">
        <f t="shared" si="15"/>
        <v>130</v>
      </c>
      <c r="AP11" s="607">
        <f>SUM(AP12:AP1011)</f>
        <v>0</v>
      </c>
      <c r="AQ11" s="623">
        <f t="shared" ref="AQ11:AV11" si="16">SUM(AQ12:AQ1011)</f>
        <v>0</v>
      </c>
      <c r="AR11" s="623">
        <f t="shared" si="16"/>
        <v>0</v>
      </c>
      <c r="AS11" s="623">
        <f t="shared" si="16"/>
        <v>120</v>
      </c>
      <c r="AT11" s="623">
        <f t="shared" si="16"/>
        <v>0</v>
      </c>
      <c r="AU11" s="623">
        <f t="shared" si="16"/>
        <v>0</v>
      </c>
      <c r="AV11" s="624">
        <f t="shared" si="16"/>
        <v>0</v>
      </c>
      <c r="AW11" s="389">
        <f t="shared" si="15"/>
        <v>27.23076923076923</v>
      </c>
      <c r="AX11" s="235">
        <f t="shared" si="15"/>
        <v>120</v>
      </c>
      <c r="AY11" s="235">
        <f t="shared" si="15"/>
        <v>10.363636363636363</v>
      </c>
      <c r="AZ11" s="390" t="e">
        <f t="shared" si="15"/>
        <v>#DIV/0!</v>
      </c>
      <c r="BA11" s="389">
        <f t="shared" si="15"/>
        <v>5</v>
      </c>
      <c r="BB11" s="235">
        <f t="shared" si="15"/>
        <v>11</v>
      </c>
      <c r="BC11" s="235">
        <f t="shared" si="15"/>
        <v>2</v>
      </c>
      <c r="BD11" s="390" t="e">
        <f t="shared" si="15"/>
        <v>#DIV/0!</v>
      </c>
      <c r="BE11" s="389">
        <f t="shared" si="15"/>
        <v>3</v>
      </c>
      <c r="BF11" s="235">
        <f t="shared" si="15"/>
        <v>7</v>
      </c>
      <c r="BG11" s="391">
        <f t="shared" si="15"/>
        <v>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3469</v>
      </c>
      <c r="E12" s="180" t="s">
        <v>3466</v>
      </c>
      <c r="F12" s="34"/>
      <c r="G12" s="131">
        <v>44014</v>
      </c>
      <c r="H12" s="136">
        <v>44028</v>
      </c>
      <c r="I12" s="140" t="s">
        <v>27</v>
      </c>
      <c r="J12" s="78"/>
      <c r="K12" s="144"/>
      <c r="L12" s="119"/>
      <c r="M12" s="394">
        <v>44085</v>
      </c>
      <c r="N12" s="158">
        <f>IF((NETWORKDAYS(G12,M12)&gt;0),(NETWORKDAYS(G12,M12)),"")</f>
        <v>52</v>
      </c>
      <c r="O12" s="311"/>
      <c r="P12" s="311"/>
      <c r="Q12" s="311" t="s">
        <v>27</v>
      </c>
      <c r="R12" s="311"/>
      <c r="S12" s="311"/>
      <c r="T12" s="311"/>
      <c r="U12" s="312"/>
      <c r="V12" s="181">
        <v>3</v>
      </c>
      <c r="W12" s="313">
        <v>1</v>
      </c>
      <c r="X12" s="313"/>
      <c r="Y12" s="160">
        <f t="shared" ref="Y12:Y75" si="17">V12+W12+X12</f>
        <v>4</v>
      </c>
      <c r="Z12" s="159">
        <f t="shared" ref="Z12:Z76" si="18">IF((F12="x"),0,((V12*10)+(W12*20)))</f>
        <v>50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c r="AI12" s="161">
        <f t="shared" ref="AI12:AI76" si="20">IF(AE12&lt;=0,AG12,AE12+AG12)</f>
        <v>20</v>
      </c>
      <c r="AJ12" s="162">
        <f t="shared" ref="AJ12:AJ75" si="21">(X12*20)+Z12+AA12+AF12</f>
        <v>50</v>
      </c>
      <c r="AK12" s="163">
        <f>AJ12-AH12</f>
        <v>50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52</v>
      </c>
      <c r="AX12" s="165" t="str">
        <f t="shared" ref="AX12:AX75" si="23">IF(AND(K12="x",AW12&gt;0),AW12,"")</f>
        <v/>
      </c>
      <c r="AY12" s="192">
        <f t="shared" ref="AY12:AY75" si="24">IF(OR(K12="x",F12="x",AW12&lt;=0),"",AW12)</f>
        <v>52</v>
      </c>
      <c r="AZ12" s="182" t="str">
        <f t="shared" ref="AZ12:AZ75" si="25">IF(AND(F12="x",AW12&gt;0),AW12,"")</f>
        <v/>
      </c>
      <c r="BA12" s="178">
        <f t="shared" ref="BA12:BA75" si="26">IF(V12&gt;0,V12,"")</f>
        <v>3</v>
      </c>
      <c r="BB12" s="179" t="str">
        <f t="shared" ref="BB12:BB75" si="27">IF(AND(K12="x",BA12&gt;0),BA12,"")</f>
        <v/>
      </c>
      <c r="BC12" s="187">
        <f>IF(OR(K12="x",F12="x",BA12&lt;=0),"",BA12)</f>
        <v>3</v>
      </c>
      <c r="BD12" s="198" t="str">
        <f t="shared" ref="BD12:BD75" si="28">IF(AND(F12="x",BA12&gt;0),BA12,"")</f>
        <v/>
      </c>
      <c r="BE12" s="200">
        <f t="shared" ref="BE12:BE75" si="29">IF(W12&gt;0,W12,"")</f>
        <v>1</v>
      </c>
      <c r="BF12" s="179" t="str">
        <f t="shared" ref="BF12:BF75" si="30">IF(AND(K12="x",BE12&gt;0),BE12,"")</f>
        <v/>
      </c>
      <c r="BG12" s="187">
        <f t="shared" ref="BG12:BG75" si="31">IF(OR(K12="x",F12="x",BE12&lt;=0),"",BE12)</f>
        <v>1</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t="s">
        <v>3468</v>
      </c>
      <c r="F13" s="34"/>
      <c r="G13" s="131">
        <v>44040</v>
      </c>
      <c r="H13" s="132">
        <v>44040</v>
      </c>
      <c r="I13" s="140" t="s">
        <v>27</v>
      </c>
      <c r="J13" s="78"/>
      <c r="K13" s="144"/>
      <c r="L13" s="119"/>
      <c r="M13" s="395">
        <v>44040</v>
      </c>
      <c r="N13" s="158">
        <f t="shared" ref="N13:N76" si="33">IF((NETWORKDAYS(G13,M13)&gt;0),(NETWORKDAYS(G13,M13)),"")</f>
        <v>1</v>
      </c>
      <c r="O13" s="311"/>
      <c r="P13" s="311"/>
      <c r="Q13" s="311"/>
      <c r="R13" s="311" t="s">
        <v>27</v>
      </c>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3475</v>
      </c>
      <c r="E14" s="81" t="s">
        <v>3470</v>
      </c>
      <c r="F14" s="34"/>
      <c r="G14" s="134">
        <v>44084</v>
      </c>
      <c r="H14" s="135">
        <v>44221</v>
      </c>
      <c r="I14" s="170"/>
      <c r="J14" s="171" t="s">
        <v>27</v>
      </c>
      <c r="K14" s="145" t="s">
        <v>27</v>
      </c>
      <c r="L14" s="28"/>
      <c r="M14" s="398">
        <v>44221</v>
      </c>
      <c r="N14" s="158">
        <f t="shared" si="33"/>
        <v>98</v>
      </c>
      <c r="O14" s="311"/>
      <c r="P14" s="311"/>
      <c r="Q14" s="311"/>
      <c r="R14" s="311" t="s">
        <v>27</v>
      </c>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98</v>
      </c>
      <c r="AX14" s="165">
        <f t="shared" si="23"/>
        <v>98</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3474</v>
      </c>
      <c r="E15" s="33" t="s">
        <v>3471</v>
      </c>
      <c r="F15" s="34"/>
      <c r="G15" s="134">
        <v>44091</v>
      </c>
      <c r="H15" s="135">
        <v>44105</v>
      </c>
      <c r="I15" s="142" t="s">
        <v>27</v>
      </c>
      <c r="J15" s="79" t="s">
        <v>27</v>
      </c>
      <c r="K15" s="145" t="s">
        <v>27</v>
      </c>
      <c r="L15" s="172" t="s">
        <v>27</v>
      </c>
      <c r="M15" s="638"/>
      <c r="N15" s="158" t="str">
        <f t="shared" si="33"/>
        <v/>
      </c>
      <c r="O15" s="315"/>
      <c r="P15" s="315"/>
      <c r="Q15" s="315" t="s">
        <v>27</v>
      </c>
      <c r="R15" s="315"/>
      <c r="S15" s="315"/>
      <c r="T15" s="316"/>
      <c r="U15" s="317"/>
      <c r="V15" s="167">
        <v>11</v>
      </c>
      <c r="W15" s="313">
        <v>7</v>
      </c>
      <c r="X15" s="313"/>
      <c r="Y15" s="160">
        <f t="shared" si="17"/>
        <v>18</v>
      </c>
      <c r="Z15" s="159">
        <f t="shared" si="18"/>
        <v>250</v>
      </c>
      <c r="AA15" s="326"/>
      <c r="AB15" s="400">
        <f t="shared" si="41"/>
        <v>0</v>
      </c>
      <c r="AC15" s="370" t="s">
        <v>27</v>
      </c>
      <c r="AD15" s="226" t="str">
        <f t="shared" si="19"/>
        <v/>
      </c>
      <c r="AE15" s="368">
        <f t="shared" si="34"/>
        <v>190</v>
      </c>
      <c r="AF15" s="331"/>
      <c r="AG15" s="333">
        <v>50</v>
      </c>
      <c r="AH15" s="334">
        <v>120</v>
      </c>
      <c r="AI15" s="161">
        <f t="shared" si="20"/>
        <v>240</v>
      </c>
      <c r="AJ15" s="162">
        <f t="shared" si="21"/>
        <v>250</v>
      </c>
      <c r="AK15" s="163">
        <f t="shared" si="35"/>
        <v>130</v>
      </c>
      <c r="AL15" s="164">
        <f t="shared" si="36"/>
        <v>120</v>
      </c>
      <c r="AM15" s="164">
        <f t="shared" si="37"/>
        <v>240</v>
      </c>
      <c r="AN15" s="164">
        <f t="shared" si="38"/>
        <v>250</v>
      </c>
      <c r="AO15" s="164">
        <f t="shared" si="39"/>
        <v>130</v>
      </c>
      <c r="AP15" s="610" t="str">
        <f t="shared" si="42"/>
        <v xml:space="preserve"> </v>
      </c>
      <c r="AQ15" s="613" t="str">
        <f t="shared" si="40"/>
        <v xml:space="preserve"> </v>
      </c>
      <c r="AR15" s="613" t="str">
        <f t="shared" si="43"/>
        <v xml:space="preserve"> </v>
      </c>
      <c r="AS15" s="613">
        <f t="shared" si="44"/>
        <v>120</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f t="shared" si="26"/>
        <v>11</v>
      </c>
      <c r="BB15" s="174">
        <f t="shared" si="27"/>
        <v>11</v>
      </c>
      <c r="BC15" s="186" t="str">
        <f>IF(OR(K15="x",F15="X",BA15&lt;=0),"",BA15)</f>
        <v/>
      </c>
      <c r="BD15" s="174" t="str">
        <f t="shared" si="28"/>
        <v/>
      </c>
      <c r="BE15" s="201">
        <f t="shared" si="29"/>
        <v>7</v>
      </c>
      <c r="BF15" s="174">
        <f t="shared" si="30"/>
        <v>7</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3472</v>
      </c>
      <c r="E16" s="16" t="s">
        <v>3473</v>
      </c>
      <c r="F16" s="17"/>
      <c r="G16" s="131">
        <v>44099</v>
      </c>
      <c r="H16" s="136">
        <v>44175</v>
      </c>
      <c r="I16" s="140" t="s">
        <v>27</v>
      </c>
      <c r="J16" s="78"/>
      <c r="K16" s="146" t="s">
        <v>27</v>
      </c>
      <c r="L16" s="120"/>
      <c r="M16" s="637">
        <v>44298</v>
      </c>
      <c r="N16" s="158">
        <f t="shared" si="33"/>
        <v>142</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142</v>
      </c>
      <c r="AX16" s="165">
        <f t="shared" si="23"/>
        <v>142</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3477</v>
      </c>
      <c r="E17" s="16" t="s">
        <v>3466</v>
      </c>
      <c r="F17" s="17"/>
      <c r="G17" s="131">
        <v>44174</v>
      </c>
      <c r="H17" s="133">
        <v>44189</v>
      </c>
      <c r="I17" s="140" t="s">
        <v>27</v>
      </c>
      <c r="J17" s="78"/>
      <c r="K17" s="144"/>
      <c r="L17" s="119"/>
      <c r="M17" s="394">
        <v>44189</v>
      </c>
      <c r="N17" s="158">
        <f t="shared" si="33"/>
        <v>12</v>
      </c>
      <c r="O17" s="27" t="s">
        <v>27</v>
      </c>
      <c r="P17" s="27"/>
      <c r="Q17" s="27"/>
      <c r="R17" s="27"/>
      <c r="S17" s="27"/>
      <c r="T17" s="28"/>
      <c r="U17" s="29"/>
      <c r="V17" s="32">
        <v>1</v>
      </c>
      <c r="W17" s="318">
        <v>1</v>
      </c>
      <c r="X17" s="319"/>
      <c r="Y17" s="160">
        <f t="shared" si="17"/>
        <v>2</v>
      </c>
      <c r="Z17" s="159">
        <f t="shared" si="18"/>
        <v>30</v>
      </c>
      <c r="AA17" s="327"/>
      <c r="AB17" s="400">
        <f t="shared" si="41"/>
        <v>-30</v>
      </c>
      <c r="AC17" s="371"/>
      <c r="AD17" s="226" t="str">
        <f t="shared" si="19"/>
        <v/>
      </c>
      <c r="AE17" s="368">
        <f t="shared" si="34"/>
        <v>0</v>
      </c>
      <c r="AF17" s="335"/>
      <c r="AG17" s="333"/>
      <c r="AH17" s="336"/>
      <c r="AI17" s="161">
        <f t="shared" si="20"/>
        <v>0</v>
      </c>
      <c r="AJ17" s="162">
        <f t="shared" si="21"/>
        <v>30</v>
      </c>
      <c r="AK17" s="163">
        <f t="shared" si="35"/>
        <v>30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12</v>
      </c>
      <c r="AX17" s="165" t="str">
        <f t="shared" si="23"/>
        <v/>
      </c>
      <c r="AY17" s="193">
        <f t="shared" si="24"/>
        <v>12</v>
      </c>
      <c r="AZ17" s="183" t="str">
        <f t="shared" si="25"/>
        <v/>
      </c>
      <c r="BA17" s="173">
        <f t="shared" si="26"/>
        <v>1</v>
      </c>
      <c r="BB17" s="174" t="str">
        <f t="shared" si="27"/>
        <v/>
      </c>
      <c r="BC17" s="186">
        <f>IF(OR(K17="x",F17="x",BA17&lt;=0),"",BA17)</f>
        <v>1</v>
      </c>
      <c r="BD17" s="174" t="str">
        <f t="shared" si="28"/>
        <v/>
      </c>
      <c r="BE17" s="201">
        <f t="shared" si="29"/>
        <v>1</v>
      </c>
      <c r="BF17" s="174" t="str">
        <f t="shared" si="30"/>
        <v/>
      </c>
      <c r="BG17" s="186">
        <f t="shared" si="31"/>
        <v>1</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3476</v>
      </c>
      <c r="E18" s="16" t="s">
        <v>3466</v>
      </c>
      <c r="F18" s="17"/>
      <c r="G18" s="134">
        <v>44182</v>
      </c>
      <c r="H18" s="135">
        <v>44194</v>
      </c>
      <c r="I18" s="141" t="s">
        <v>27</v>
      </c>
      <c r="J18" s="25"/>
      <c r="K18" s="145"/>
      <c r="L18" s="28"/>
      <c r="M18" s="395">
        <v>44194</v>
      </c>
      <c r="N18" s="158">
        <f t="shared" si="33"/>
        <v>9</v>
      </c>
      <c r="O18" s="27"/>
      <c r="P18" s="27"/>
      <c r="Q18" s="27"/>
      <c r="R18" s="27" t="s">
        <v>27</v>
      </c>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9</v>
      </c>
      <c r="AX18" s="165" t="str">
        <f t="shared" si="23"/>
        <v/>
      </c>
      <c r="AY18" s="193">
        <f t="shared" si="24"/>
        <v>9</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3478</v>
      </c>
      <c r="E19" s="18" t="s">
        <v>3470</v>
      </c>
      <c r="F19" s="17"/>
      <c r="G19" s="134">
        <v>44218</v>
      </c>
      <c r="H19" s="135">
        <v>44229</v>
      </c>
      <c r="I19" s="141" t="s">
        <v>27</v>
      </c>
      <c r="J19" s="25"/>
      <c r="K19" s="145"/>
      <c r="L19" s="28"/>
      <c r="M19" s="395">
        <v>44229</v>
      </c>
      <c r="N19" s="158">
        <f t="shared" si="33"/>
        <v>8</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8</v>
      </c>
      <c r="AX19" s="165" t="str">
        <f t="shared" si="23"/>
        <v/>
      </c>
      <c r="AY19" s="193">
        <f t="shared" si="24"/>
        <v>8</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3479</v>
      </c>
      <c r="E20" s="16" t="s">
        <v>3480</v>
      </c>
      <c r="F20" s="17"/>
      <c r="G20" s="131">
        <v>44267</v>
      </c>
      <c r="H20" s="133">
        <v>44280</v>
      </c>
      <c r="I20" s="140" t="s">
        <v>27</v>
      </c>
      <c r="J20" s="78"/>
      <c r="K20" s="144"/>
      <c r="L20" s="119"/>
      <c r="M20" s="394">
        <v>44280</v>
      </c>
      <c r="N20" s="158">
        <f t="shared" si="33"/>
        <v>10</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10</v>
      </c>
      <c r="AX20" s="165" t="str">
        <f t="shared" si="23"/>
        <v/>
      </c>
      <c r="AY20" s="193">
        <f t="shared" si="24"/>
        <v>10</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3481</v>
      </c>
      <c r="E21" s="81" t="s">
        <v>3482</v>
      </c>
      <c r="F21" s="34"/>
      <c r="G21" s="131">
        <v>44273</v>
      </c>
      <c r="H21" s="132">
        <v>44274</v>
      </c>
      <c r="I21" s="140" t="s">
        <v>27</v>
      </c>
      <c r="J21" s="78"/>
      <c r="K21" s="144"/>
      <c r="L21" s="119"/>
      <c r="M21" s="394">
        <v>44274</v>
      </c>
      <c r="N21" s="158">
        <f t="shared" si="33"/>
        <v>2</v>
      </c>
      <c r="O21" s="311"/>
      <c r="P21" s="311" t="s">
        <v>27</v>
      </c>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2</v>
      </c>
      <c r="AX21" s="165" t="str">
        <f t="shared" si="23"/>
        <v/>
      </c>
      <c r="AY21" s="193">
        <f t="shared" si="24"/>
        <v>2</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3483</v>
      </c>
      <c r="E22" s="16" t="s">
        <v>3484</v>
      </c>
      <c r="F22" s="17"/>
      <c r="G22" s="139">
        <v>44302</v>
      </c>
      <c r="H22" s="135">
        <v>44316</v>
      </c>
      <c r="I22" s="141" t="s">
        <v>27</v>
      </c>
      <c r="J22" s="25"/>
      <c r="K22" s="145" t="s">
        <v>27</v>
      </c>
      <c r="L22" s="28" t="s">
        <v>27</v>
      </c>
      <c r="M22" s="638"/>
      <c r="N22" s="158" t="str">
        <f t="shared" si="33"/>
        <v/>
      </c>
      <c r="O22" s="27"/>
      <c r="P22" s="27"/>
      <c r="Q22" s="27" t="s">
        <v>27</v>
      </c>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3483</v>
      </c>
      <c r="E23" s="18" t="s">
        <v>3484</v>
      </c>
      <c r="F23" s="17"/>
      <c r="G23" s="131">
        <v>44306</v>
      </c>
      <c r="H23" s="136">
        <v>44316</v>
      </c>
      <c r="I23" s="140" t="s">
        <v>27</v>
      </c>
      <c r="J23" s="78"/>
      <c r="K23" s="144" t="s">
        <v>27</v>
      </c>
      <c r="L23" s="119" t="s">
        <v>27</v>
      </c>
      <c r="M23" s="637"/>
      <c r="N23" s="158" t="str">
        <f t="shared" si="33"/>
        <v/>
      </c>
      <c r="O23" s="27"/>
      <c r="P23" s="27"/>
      <c r="Q23" s="27" t="s">
        <v>27</v>
      </c>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3485</v>
      </c>
      <c r="E24" s="16" t="s">
        <v>3471</v>
      </c>
      <c r="F24" s="17"/>
      <c r="G24" s="131">
        <v>44298</v>
      </c>
      <c r="H24" s="133">
        <v>44312</v>
      </c>
      <c r="I24" s="140" t="s">
        <v>27</v>
      </c>
      <c r="J24" s="78"/>
      <c r="K24" s="144"/>
      <c r="L24" s="119"/>
      <c r="M24" s="637">
        <v>44312</v>
      </c>
      <c r="N24" s="158">
        <f t="shared" si="33"/>
        <v>11</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11</v>
      </c>
      <c r="AX24" s="165" t="str">
        <f t="shared" si="23"/>
        <v/>
      </c>
      <c r="AY24" s="193">
        <f t="shared" si="24"/>
        <v>11</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3486</v>
      </c>
      <c r="E25" s="16" t="s">
        <v>3487</v>
      </c>
      <c r="F25" s="17"/>
      <c r="G25" s="134">
        <v>44342</v>
      </c>
      <c r="H25" s="135">
        <v>44343</v>
      </c>
      <c r="I25" s="141" t="s">
        <v>27</v>
      </c>
      <c r="J25" s="25"/>
      <c r="K25" s="145"/>
      <c r="L25" s="28"/>
      <c r="M25" s="395">
        <v>44343</v>
      </c>
      <c r="N25" s="158">
        <f t="shared" si="33"/>
        <v>2</v>
      </c>
      <c r="O25" s="27" t="s">
        <v>27</v>
      </c>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2</v>
      </c>
      <c r="AX25" s="165" t="str">
        <f t="shared" si="23"/>
        <v/>
      </c>
      <c r="AY25" s="193">
        <f t="shared" si="24"/>
        <v>2</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3488</v>
      </c>
      <c r="E26" s="16" t="s">
        <v>3466</v>
      </c>
      <c r="F26" s="17"/>
      <c r="G26" s="134">
        <v>44343</v>
      </c>
      <c r="H26" s="135">
        <v>44343</v>
      </c>
      <c r="I26" s="141" t="s">
        <v>27</v>
      </c>
      <c r="J26" s="25"/>
      <c r="K26" s="145"/>
      <c r="L26" s="28"/>
      <c r="M26" s="395">
        <v>44343</v>
      </c>
      <c r="N26" s="158">
        <f t="shared" si="33"/>
        <v>1</v>
      </c>
      <c r="O26" s="27" t="s">
        <v>27</v>
      </c>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v>
      </c>
      <c r="AX26" s="165" t="str">
        <f t="shared" si="23"/>
        <v/>
      </c>
      <c r="AY26" s="193">
        <f t="shared" si="24"/>
        <v>1</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3489</v>
      </c>
      <c r="E27" s="18" t="s">
        <v>3466</v>
      </c>
      <c r="F27" s="17"/>
      <c r="G27" s="131">
        <v>44369</v>
      </c>
      <c r="H27" s="136">
        <v>44376</v>
      </c>
      <c r="I27" s="140" t="s">
        <v>27</v>
      </c>
      <c r="J27" s="78"/>
      <c r="K27" s="144"/>
      <c r="L27" s="119"/>
      <c r="M27" s="394">
        <v>44376</v>
      </c>
      <c r="N27" s="158">
        <f t="shared" si="33"/>
        <v>6</v>
      </c>
      <c r="O27" s="27"/>
      <c r="P27" s="27"/>
      <c r="Q27" s="27"/>
      <c r="R27" s="27" t="s">
        <v>27</v>
      </c>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6</v>
      </c>
      <c r="AX27" s="165" t="str">
        <f t="shared" si="23"/>
        <v/>
      </c>
      <c r="AY27" s="193">
        <f t="shared" si="24"/>
        <v>6</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3490</v>
      </c>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Joyce, Aaron S</cp:lastModifiedBy>
  <cp:lastPrinted>2016-05-31T18:15:39Z</cp:lastPrinted>
  <dcterms:created xsi:type="dcterms:W3CDTF">2013-04-08T20:12:31Z</dcterms:created>
  <dcterms:modified xsi:type="dcterms:W3CDTF">2021-07-02T20:26:12Z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aveLocal">
    <vt:bool>true</vt:bool>
  </property>
</Properties>
</file>