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clum\Desktop\"/>
    </mc:Choice>
  </mc:AlternateContent>
  <bookViews>
    <workbookView xWindow="0" yWindow="0" windowWidth="23040" windowHeight="1066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AB28" i="3"/>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AW26" i="3"/>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M32" i="3" s="1"/>
  <c r="AJ32" i="3"/>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32" i="3" l="1"/>
  <c r="AO32" i="3" s="1"/>
  <c r="AN32"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<sst xmlns="http://schemas.openxmlformats.org/spreadsheetml/2006/main" count="7387" uniqueCount="3468">
  <si>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</si>
  <si>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</si>
  <si>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</si>
  <si>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</si>
  <si>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</si>
  <si>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</si>
  <si>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</si>
  <si>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</si>
  <si>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</si>
  <si>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</si>
  <si>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</si>
  <si>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</si>
  <si>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</si>
  <si>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</si>
  <si>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</si>
  <si>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</si>
  <si>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</si>
  <si>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</si>
  <si>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</si>
  <si>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</si>
  <si>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</si>
  <si>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</si>
  <si>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</si>
  <si>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</si>
  <si>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</si>
  <si>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</si>
  <si>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</si>
  <si>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</si>
  <si>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</si>
  <si>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</si>
  <si>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</si>
  <si>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</si>
  <si>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</si>
  <si>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</si>
  <si>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</si>
  <si>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</si>
  <si>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</si>
  <si>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</si>
  <si>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</si>
  <si>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</si>
  <si>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</si>
  <si>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</si>
  <si>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</si>
  <si>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</si>
  <si>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</si>
  <si>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</si>
  <si>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</si>
  <si>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</si>
  <si>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</si>
  <si>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</si>
  <si>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</si>
  <si>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</si>
  <si>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</si>
  <si>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</si>
  <si>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</si>
  <si>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</si>
  <si>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</si>
  <si>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</si>
  <si>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</si>
  <si>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</si>
  <si>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</si>
  <si>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</si>
  <si>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</si>
  <si>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</si>
  <si>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</si>
  <si>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</si>
  <si>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</si>
  <si>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</si>
  <si>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</si>
  <si>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</si>
  <si>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</si>
  <si>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</si>
  <si>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</si>
  <si>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</si>
  <si>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</si>
  <si>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</si>
  <si>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</si>
  <si>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</si>
  <si>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</si>
  <si>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</si>
  <si>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</si>
  <si>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</si>
  <si>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</si>
  <si>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</si>
  <si>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</si>
  <si>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</si>
  <si>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</si>
  <si>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</si>
  <si>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</si>
  <si>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</si>
  <si>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</si>
  <si>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</si>
  <si>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</si>
  <si>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</si>
  <si>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</si>
  <si>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</si>
  <si>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</si>
  <si>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</si>
  <si>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</si>
  <si>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</si>
  <si>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</si>
  <si>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</si>
  <si>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</si>
  <si>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</si>
  <si>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</si>
  <si>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</si>
  <si>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</si>
  <si>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</si>
  <si>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</si>
  <si>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</si>
  <si>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</si>
  <si>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</si>
  <si>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</si>
  <si>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</si>
  <si>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</si>
  <si>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</si>
  <si>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</si>
  <si>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</si>
  <si>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</si>
  <si>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</si>
  <si>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</si>
  <si>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</si>
  <si>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</si>
  <si>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</si>
  <si>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</si>
  <si>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</si>
  <si>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</si>
  <si>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</si>
  <si>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</si>
  <si>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</si>
  <si>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</si>
  <si>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</si>
  <si>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</si>
  <si>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</si>
  <si>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</si>
  <si>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</si>
  <si>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</si>
  <si>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</si>
  <si>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</si>
  <si>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</si>
  <si>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</si>
  <si>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</si>
  <si>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</si>
  <si>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</si>
  <si>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</si>
  <si>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</si>
  <si>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</si>
  <si>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</si>
  <si>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</si>
  <si>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</si>
  <si>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</si>
  <si>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</si>
  <si>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</si>
  <si>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</si>
  <si>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</si>
  <si>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</si>
  <si>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</si>
  <si>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</si>
  <si>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</si>
  <si>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</si>
  <si>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</si>
  <si>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</si>
  <si>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</si>
  <si>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</si>
  <si>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</si>
  <si>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</si>
  <si>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</si>
  <si>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</si>
  <si>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</si>
  <si>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</si>
  <si>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</si>
  <si>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</si>
  <si>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</si>
  <si>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</si>
  <si>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</si>
  <si>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</si>
  <si>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</si>
  <si>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</si>
  <si>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</si>
  <si>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</si>
  <si>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</si>
  <si>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</si>
  <si>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</si>
  <si>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</si>
  <si>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</si>
  <si>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</si>
  <si>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</si>
  <si>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</si>
  <si>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</si>
  <si>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</si>
  <si>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</si>
  <si>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</si>
  <si>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</si>
  <si>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</si>
  <si>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</si>
  <si>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</si>
  <si>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</si>
  <si>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</si>
  <si>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</si>
  <si>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</si>
  <si>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</si>
  <si>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</si>
  <si>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</si>
  <si>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</si>
  <si>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</si>
  <si>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</si>
  <si>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</si>
  <si>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</si>
  <si>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</si>
  <si>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</si>
  <si>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</si>
  <si>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</si>
  <si>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</si>
  <si>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</si>
  <si>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</si>
  <si>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</si>
  <si>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</si>
  <si>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</si>
  <si>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</si>
  <si>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</si>
  <si>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</si>
  <si>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</si>
  <si>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</si>
  <si>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</si>
  <si>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</si>
  <si>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</si>
  <si>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</si>
  <si>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</si>
  <si>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</si>
  <si>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</si>
  <si>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</si>
  <si>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</si>
  <si>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</si>
  <si>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</si>
  <si>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</si>
  <si>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</si>
  <si>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</si>
  <si>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</si>
  <si>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</si>
  <si>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</si>
  <si>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</si>
  <si>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</si>
  <si>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</si>
  <si>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</si>
  <si>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</si>
  <si>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</si>
  <si>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</si>
  <si>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</si>
  <si>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</si>
  <si>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</si>
  <si>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</si>
  <si>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</si>
  <si>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</si>
  <si>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</si>
  <si>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</si>
  <si>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</si>
  <si>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</si>
  <si>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</si>
  <si>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</si>
  <si>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</si>
  <si>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</si>
  <si>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</si>
  <si>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</si>
  <si>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</si>
  <si>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</si>
  <si>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</si>
  <si>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</si>
  <si>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</si>
  <si>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</si>
  <si>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</si>
  <si>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</si>
  <si>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</si>
  <si>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</si>
  <si>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</si>
  <si>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</si>
  <si>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</si>
  <si>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</si>
  <si>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</si>
  <si>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</si>
  <si>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</si>
  <si>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</si>
  <si>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</si>
  <si>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</si>
  <si>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</si>
  <si>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</si>
  <si>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</si>
  <si>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</si>
  <si>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</si>
  <si>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</si>
  <si>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</si>
  <si>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</si>
  <si>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</si>
  <si>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</si>
  <si>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</si>
  <si>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</si>
  <si>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</si>
  <si>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</si>
  <si>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</si>
  <si>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</si>
  <si>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</si>
  <si>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</si>
  <si>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</si>
  <si>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</si>
  <si>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</si>
  <si>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</si>
  <si>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</si>
  <si>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</si>
  <si>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</si>
  <si>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</si>
  <si>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</si>
  <si>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</si>
  <si>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</si>
  <si>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</si>
  <si>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</si>
  <si>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</si>
  <si>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</si>
  <si>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</si>
  <si>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</si>
  <si>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</si>
  <si>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</si>
  <si>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</si>
  <si>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</si>
  <si>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</si>
  <si>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</si>
  <si>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</si>
  <si>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</si>
  <si>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</si>
  <si>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</si>
  <si>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</si>
  <si>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</si>
  <si>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</si>
  <si>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</si>
  <si>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</si>
  <si>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</si>
  <si>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</si>
  <si>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</si>
  <si>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</si>
  <si>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</si>
  <si>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</si>
  <si>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</si>
  <si>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</si>
  <si>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</si>
  <si>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</si>
  <si>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</si>
  <si>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</si>
  <si>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</si>
  <si>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</si>
  <si>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</si>
  <si>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</si>
  <si>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</si>
  <si>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</si>
  <si>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</si>
  <si>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</si>
  <si>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</si>
  <si>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</si>
  <si>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</si>
  <si>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</si>
  <si>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</si>
  <si>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</si>
  <si>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</si>
  <si>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</si>
  <si>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</si>
  <si>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</si>
  <si>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</si>
  <si>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</si>
  <si>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</si>
  <si>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</si>
  <si>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</si>
  <si>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</si>
  <si>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</si>
  <si>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</si>
  <si>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</si>
  <si>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</si>
  <si>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</si>
  <si>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</si>
  <si>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</si>
  <si>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</si>
  <si>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</si>
  <si>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</si>
  <si>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</si>
  <si>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</si>
  <si>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</si>
  <si>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</si>
  <si>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</si>
  <si>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</si>
  <si>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</si>
  <si>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</si>
  <si>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</si>
  <si>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</si>
  <si>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</si>
  <si>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</si>
  <si>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</si>
  <si>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</si>
  <si>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</si>
  <si>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</si>
  <si>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</si>
  <si>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</si>
  <si>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</si>
  <si>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</si>
  <si>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</si>
  <si>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</si>
  <si>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</si>
  <si>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</si>
  <si>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</si>
  <si>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</si>
  <si>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</si>
  <si>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</si>
  <si>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</si>
  <si>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</si>
  <si>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</si>
  <si>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</si>
  <si>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</si>
  <si>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</si>
  <si>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</si>
  <si>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</si>
  <si>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</si>
  <si>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</si>
  <si>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</si>
  <si>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</si>
  <si>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</si>
  <si>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</si>
  <si>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</si>
  <si>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</si>
  <si>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</si>
  <si>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</si>
  <si>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</si>
  <si>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</si>
  <si>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</si>
  <si>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</si>
  <si>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</si>
  <si>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</si>
  <si>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</si>
  <si>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</si>
  <si>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</si>
  <si>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</si>
  <si>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</si>
  <si>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</si>
  <si>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</si>
  <si>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</si>
  <si>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</si>
  <si>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</si>
  <si>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</si>
  <si>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</si>
  <si>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</si>
  <si>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</si>
  <si>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</si>
  <si>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</si>
  <si>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</si>
  <si>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</si>
  <si>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</si>
  <si>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</si>
  <si>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</si>
  <si>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</si>
  <si>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</si>
  <si>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</si>
  <si>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</si>
  <si>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</si>
  <si>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</si>
  <si>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</si>
  <si>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</si>
  <si>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</si>
  <si>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</si>
  <si>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</si>
  <si>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</si>
  <si>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</si>
  <si>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</si>
  <si>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</si>
  <si>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</si>
  <si>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</si>
  <si>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</si>
  <si>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</si>
  <si>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</si>
  <si>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</si>
  <si>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</si>
  <si>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</si>
  <si>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</si>
  <si>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</si>
  <si>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</si>
  <si>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</si>
  <si>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</si>
  <si>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</si>
  <si>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</si>
  <si>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</si>
  <si>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</si>
  <si>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</si>
  <si>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</si>
  <si>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</si>
  <si>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</si>
  <si>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</si>
  <si>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</si>
  <si>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</si>
  <si>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</si>
  <si>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</si>
  <si>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</si>
  <si>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</si>
  <si>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</si>
  <si>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</si>
  <si>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</si>
  <si>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</si>
  <si>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</si>
  <si>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</si>
  <si>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</si>
  <si>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</si>
  <si>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</si>
  <si>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</si>
  <si>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</si>
  <si>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</si>
  <si>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</si>
  <si>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</si>
  <si>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</si>
  <si>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</si>
  <si>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</si>
  <si>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</si>
  <si>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</si>
  <si>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</si>
  <si>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</si>
  <si>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</si>
  <si>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</si>
  <si>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</si>
  <si>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</si>
  <si>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</si>
  <si>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</si>
  <si>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</si>
  <si>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</si>
  <si>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</si>
  <si>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</si>
  <si>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</si>
  <si>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</si>
  <si>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</si>
  <si>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</si>
  <si>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</si>
  <si>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</si>
  <si>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</si>
  <si>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</si>
  <si>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</si>
  <si>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</si>
  <si>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</si>
  <si>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</si>
  <si>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</si>
  <si>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</si>
  <si>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</si>
  <si>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</si>
  <si>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</si>
  <si>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</si>
  <si>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</si>
  <si>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</si>
  <si>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</si>
  <si>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</si>
  <si>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</si>
  <si>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</si>
  <si>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</si>
  <si>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</si>
  <si>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</si>
  <si>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</si>
  <si>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</si>
  <si>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</si>
  <si>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</si>
  <si>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</si>
  <si>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</si>
  <si>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</si>
  <si>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</si>
  <si>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</si>
  <si>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</si>
  <si>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</si>
  <si>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</si>
  <si>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</si>
  <si>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</si>
  <si>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</si>
  <si>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</si>
  <si>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</si>
  <si>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</si>
  <si>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</si>
  <si>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</si>
  <si>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</si>
  <si>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</si>
  <si>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</si>
  <si>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</si>
  <si>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</si>
  <si>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</si>
  <si>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</si>
  <si>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</si>
  <si>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</si>
  <si>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</si>
  <si>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</si>
  <si>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</si>
  <si>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</si>
  <si>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</si>
  <si>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</si>
  <si>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</si>
  <si>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</si>
  <si>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</si>
  <si>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</si>
  <si>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</si>
  <si>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</si>
  <si>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</si>
  <si>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</si>
  <si>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</si>
  <si>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</si>
  <si>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</si>
  <si>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</si>
  <si>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</si>
  <si>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</si>
  <si>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</si>
  <si>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</si>
  <si>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</si>
  <si>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</si>
  <si>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</si>
  <si>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</si>
  <si>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</si>
  <si>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</si>
  <si>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</si>
  <si>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</si>
  <si>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</si>
  <si>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</si>
  <si>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</si>
  <si>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</si>
  <si>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</si>
  <si>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</si>
  <si>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</si>
  <si>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</si>
  <si>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</si>
  <si>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</si>
  <si>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</si>
  <si>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</si>
  <si>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</si>
  <si>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</si>
  <si>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</si>
  <si>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</si>
  <si>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</si>
  <si>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</si>
  <si>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</si>
  <si>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</si>
  <si>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</si>
  <si>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</si>
  <si>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</si>
  <si>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</si>
  <si>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</si>
  <si>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</si>
  <si>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</si>
  <si>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</si>
  <si>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</si>
  <si>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</si>
  <si>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</si>
  <si>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</si>
  <si>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</si>
  <si>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</si>
  <si>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</si>
  <si>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</si>
  <si>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</si>
  <si>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</si>
  <si>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</si>
  <si>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</si>
  <si>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</si>
  <si>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</si>
  <si>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</si>
  <si>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</si>
  <si>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</si>
  <si>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</si>
  <si>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</si>
  <si>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</si>
  <si>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</si>
  <si>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</si>
  <si>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</si>
  <si>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</si>
  <si>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</si>
  <si>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</si>
  <si>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</si>
  <si>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</si>
  <si>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</si>
  <si>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</si>
  <si>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</si>
  <si>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</si>
  <si>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</si>
  <si>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</si>
  <si>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</si>
  <si>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</si>
  <si>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</si>
  <si>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</si>
  <si>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</si>
  <si>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</si>
  <si>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</si>
  <si>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</si>
  <si>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</si>
  <si>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</si>
  <si>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</si>
  <si>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</si>
  <si>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</si>
  <si>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</si>
  <si>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</si>
  <si>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</si>
  <si>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</si>
  <si>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</si>
  <si>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</si>
  <si>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</si>
  <si>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</si>
  <si>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</si>
  <si>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</si>
  <si>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</si>
  <si>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</si>
  <si>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</si>
  <si>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</si>
  <si>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</si>
  <si>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</si>
  <si>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</si>
  <si>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</si>
  <si>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</si>
  <si>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</si>
  <si>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</si>
  <si>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</si>
  <si>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</si>
  <si>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</si>
  <si>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</si>
  <si>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</si>
  <si>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</si>
  <si>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</si>
  <si>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</si>
  <si>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</si>
  <si>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</si>
  <si>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</si>
  <si>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</si>
  <si>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</si>
  <si>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</si>
  <si>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</si>
  <si>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</si>
  <si>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</si>
  <si>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</si>
  <si>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</si>
  <si>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</si>
  <si>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</si>
  <si>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</si>
  <si>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</si>
  <si>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</si>
  <si>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</si>
  <si>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</si>
  <si>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</si>
  <si>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</si>
  <si>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</si>
  <si>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</si>
  <si>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</si>
  <si>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</si>
  <si>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</si>
  <si>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</si>
  <si>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</si>
  <si>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</si>
  <si>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</si>
  <si>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</si>
  <si>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</si>
  <si>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</si>
  <si>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</si>
  <si>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</si>
  <si>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</si>
  <si>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</si>
  <si>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</si>
  <si>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</si>
  <si>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</si>
  <si>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</si>
  <si>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</si>
  <si>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</si>
  <si>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</si>
  <si>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</si>
  <si>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</si>
  <si>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</si>
  <si>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</si>
  <si>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</si>
  <si>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</si>
  <si>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</si>
  <si>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</si>
  <si>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</si>
  <si>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</si>
  <si>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</si>
  <si>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</si>
  <si>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</si>
  <si>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</si>
  <si>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</si>
  <si>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</si>
  <si>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</si>
  <si>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</si>
  <si>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</si>
  <si>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</si>
  <si>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</si>
  <si>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</si>
  <si>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</si>
  <si>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</si>
  <si>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</si>
  <si>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</si>
  <si>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</si>
  <si>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</si>
  <si>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</si>
  <si>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</si>
  <si>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</si>
  <si>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</si>
  <si>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</si>
  <si>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</si>
  <si>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</si>
  <si>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</si>
  <si>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</si>
  <si>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</si>
  <si>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</si>
  <si>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</si>
  <si>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</si>
  <si>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</si>
  <si>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</si>
  <si>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</si>
  <si>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</si>
  <si>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</si>
  <si>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</si>
  <si>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</si>
  <si>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</si>
  <si>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</si>
  <si>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</si>
  <si>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</si>
  <si>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</si>
  <si>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</si>
  <si>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</si>
  <si>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</si>
  <si>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</si>
  <si>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</si>
  <si>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</si>
  <si>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</si>
  <si>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</si>
  <si>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</si>
  <si>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</si>
  <si>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</si>
  <si>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</si>
  <si>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</si>
  <si>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</si>
  <si>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</si>
  <si>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</si>
  <si>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</si>
  <si>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</si>
  <si>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</si>
  <si>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</si>
  <si>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</si>
  <si>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</si>
  <si>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</si>
  <si>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</si>
  <si>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</si>
  <si>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</si>
  <si>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</si>
  <si>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</si>
  <si>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</si>
  <si>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</si>
  <si>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</si>
  <si>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</si>
  <si>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</si>
  <si>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</si>
  <si>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</si>
  <si>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</si>
  <si>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</si>
  <si>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</si>
  <si>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</si>
  <si>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</si>
  <si>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</si>
  <si>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</si>
  <si>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</si>
  <si>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</si>
  <si>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</si>
  <si>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</si>
  <si>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</si>
  <si>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</si>
  <si>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</si>
  <si>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</si>
  <si>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</si>
  <si>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</si>
  <si>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</si>
  <si>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</si>
  <si>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</si>
  <si>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</si>
  <si>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</si>
  <si>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</si>
  <si>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</si>
  <si>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</si>
  <si>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</si>
  <si>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</si>
  <si>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</si>
  <si>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</si>
  <si>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</si>
  <si>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</si>
  <si>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</si>
  <si>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</si>
  <si>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</si>
  <si>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</si>
  <si>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</si>
  <si>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</si>
  <si>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</si>
  <si>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</si>
  <si>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</si>
  <si>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</si>
  <si>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</si>
  <si>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</si>
  <si>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</si>
  <si>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</si>
  <si>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</si>
  <si>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</si>
  <si>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</si>
  <si>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</si>
  <si>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</si>
  <si>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</si>
  <si>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</si>
  <si>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</si>
  <si>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</si>
  <si>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</si>
  <si>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</si>
  <si>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</si>
  <si>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</si>
  <si>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</si>
  <si>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</si>
  <si>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</si>
  <si>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</si>
  <si>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</si>
  <si>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</si>
  <si>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</si>
  <si>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</si>
  <si>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</si>
  <si>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</si>
  <si>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</si>
  <si>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</si>
  <si>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</si>
  <si>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</si>
  <si>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</si>
  <si>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</si>
  <si>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</si>
  <si>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</si>
  <si>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</si>
  <si>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</si>
  <si>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</si>
  <si>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</si>
  <si>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</si>
  <si>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</si>
  <si>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</si>
  <si>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</si>
  <si>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</si>
  <si>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</si>
  <si>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</si>
  <si>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</si>
  <si>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</si>
  <si>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</si>
  <si>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</si>
  <si>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</si>
  <si>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</si>
  <si>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</si>
  <si>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</si>
  <si>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</si>
  <si>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</si>
  <si>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</si>
  <si>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</si>
  <si>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</si>
  <si>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</si>
  <si>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</si>
  <si>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</si>
  <si>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</si>
  <si>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</si>
  <si>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</si>
  <si>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</si>
  <si>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</si>
  <si>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</si>
  <si>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</si>
  <si>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</si>
  <si>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</si>
  <si>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</si>
  <si>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</si>
  <si>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</si>
  <si>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</si>
  <si>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</si>
  <si>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</si>
  <si>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</si>
  <si>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</si>
  <si>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</si>
  <si>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</si>
  <si>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</si>
  <si>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</si>
  <si>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</si>
  <si>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</si>
  <si>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</si>
  <si>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</si>
  <si>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</si>
  <si>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</si>
  <si>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</si>
  <si>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</si>
  <si>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</si>
  <si>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</si>
  <si>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</si>
  <si>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</si>
  <si>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</si>
  <si>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</si>
  <si>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</si>
  <si>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</si>
  <si>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</si>
  <si>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</si>
  <si>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</si>
  <si>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</si>
  <si>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</si>
  <si>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</si>
  <si>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</si>
  <si>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</si>
  <si>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</si>
  <si>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</si>
  <si>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</si>
  <si>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</si>
  <si>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</si>
  <si>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</si>
  <si>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</si>
  <si>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</si>
  <si>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</si>
  <si>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</si>
  <si>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</si>
  <si>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</si>
  <si>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</si>
  <si>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</si>
  <si>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</si>
  <si>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</si>
  <si>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</si>
  <si>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</si>
  <si>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</si>
  <si>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</si>
  <si>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</si>
  <si>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</si>
  <si>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</si>
  <si>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</si>
  <si>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</si>
  <si>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</si>
  <si>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</si>
  <si>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</si>
  <si>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</si>
  <si>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</si>
  <si>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</si>
  <si>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</si>
  <si>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</si>
  <si>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</si>
  <si>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</si>
  <si>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</si>
  <si>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</si>
  <si>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</si>
  <si>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</si>
  <si>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</si>
  <si>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</si>
  <si>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</si>
  <si>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</si>
  <si>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</si>
  <si>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</si>
  <si>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</si>
  <si>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</si>
  <si>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</si>
  <si>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</si>
  <si>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</si>
  <si>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</si>
  <si>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</si>
  <si>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</si>
  <si>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</si>
  <si>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</si>
  <si>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</si>
  <si>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</si>
  <si>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</si>
  <si>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</si>
  <si>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</si>
  <si>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</si>
  <si>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</si>
  <si>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</si>
  <si>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</si>
  <si>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</si>
  <si>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</si>
  <si>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</si>
  <si>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</si>
  <si>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</si>
  <si>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</si>
  <si>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</si>
  <si>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</si>
  <si>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</si>
  <si>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</si>
  <si>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</si>
  <si>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</si>
  <si>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</si>
  <si>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</si>
  <si>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</si>
  <si>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</si>
  <si>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</si>
  <si>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</si>
  <si>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</si>
  <si>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</si>
  <si>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</si>
  <si>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</si>
  <si>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</si>
  <si>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</si>
  <si>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</si>
  <si>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</si>
  <si>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</si>
  <si>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</si>
  <si>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</si>
  <si>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</si>
  <si>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</si>
  <si>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</si>
  <si>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</si>
  <si>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</si>
  <si>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</si>
  <si>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</si>
  <si>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</si>
  <si>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</si>
  <si>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</si>
  <si>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</si>
  <si>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</si>
  <si>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</si>
  <si>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</si>
  <si>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</si>
  <si>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</si>
  <si>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</si>
  <si>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</si>
  <si>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</si>
  <si>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</si>
  <si>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</si>
  <si>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</si>
  <si>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</si>
  <si>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</si>
  <si>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</si>
  <si>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</si>
  <si>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</si>
  <si>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</si>
  <si>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</si>
  <si>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</si>
  <si>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</si>
  <si>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</si>
  <si>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</si>
  <si>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</si>
  <si>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</si>
  <si>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</si>
  <si>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</si>
  <si>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</si>
  <si>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</si>
  <si>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</si>
  <si>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</si>
  <si>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</si>
  <si>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</si>
  <si>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</si>
  <si>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</si>
  <si>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</si>
  <si>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</si>
  <si>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</si>
  <si>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</si>
  <si>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</si>
  <si>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</si>
  <si>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</si>
  <si>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</si>
  <si>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</si>
  <si>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</si>
  <si>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</si>
  <si>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</si>
  <si>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</si>
  <si>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</si>
  <si>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</si>
  <si>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</si>
  <si>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</si>
  <si>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</si>
  <si>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</si>
  <si>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</si>
  <si>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</si>
  <si>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</si>
  <si>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</si>
  <si>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</si>
  <si>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</si>
  <si>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</si>
  <si>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</si>
  <si>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</si>
  <si>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</si>
  <si>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</si>
  <si>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</si>
  <si>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</si>
  <si>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</si>
  <si>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</si>
  <si>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</si>
  <si>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</si>
  <si>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</si>
  <si>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</si>
  <si>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</si>
  <si>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</si>
  <si>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</si>
  <si>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</si>
  <si>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</si>
  <si>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</si>
  <si>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</si>
  <si>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</si>
  <si>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</si>
  <si>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</si>
  <si>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</si>
  <si>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</si>
  <si>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</si>
  <si>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</si>
  <si>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</si>
  <si>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</si>
  <si>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</si>
  <si>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</si>
  <si>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</si>
  <si>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</si>
  <si>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</si>
  <si>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</si>
  <si>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</si>
  <si>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</si>
  <si>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</si>
  <si>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</si>
  <si>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</si>
  <si>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</si>
  <si>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</si>
  <si>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</si>
  <si>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</si>
  <si>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</si>
  <si>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</si>
  <si>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</si>
  <si>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</si>
  <si>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</si>
  <si>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</si>
  <si>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</si>
  <si>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</si>
  <si>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</si>
  <si>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</si>
  <si>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</si>
  <si>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</si>
  <si>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</si>
  <si>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</si>
  <si>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</si>
  <si>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</si>
  <si>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</si>
  <si>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</si>
  <si>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</si>
  <si>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</si>
  <si>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</si>
  <si>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</si>
  <si>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</si>
  <si>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</si>
  <si>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</si>
  <si>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</si>
  <si>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</si>
  <si>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</si>
  <si>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</si>
  <si>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</si>
  <si>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</si>
  <si>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</si>
  <si>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</si>
  <si>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</si>
  <si>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</si>
  <si>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</si>
  <si>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</si>
  <si>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</si>
  <si>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</si>
  <si>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</si>
  <si>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</si>
  <si>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</si>
  <si>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</si>
  <si>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</si>
  <si>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</si>
  <si>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</si>
  <si>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</si>
  <si>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</si>
  <si>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</si>
  <si>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</si>
  <si>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</si>
  <si>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</si>
  <si>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</si>
  <si>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</si>
  <si>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</si>
  <si>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</si>
  <si>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</si>
  <si>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</si>
  <si>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</si>
  <si>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</si>
  <si>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</si>
  <si>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</si>
  <si>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</si>
  <si>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</si>
  <si>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</si>
  <si>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</si>
  <si>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</si>
  <si>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</si>
  <si>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</si>
  <si>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</si>
  <si>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</si>
  <si>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</si>
  <si>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</si>
  <si>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</si>
  <si>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</si>
  <si>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</si>
  <si>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</si>
  <si>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</si>
  <si>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</si>
  <si>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</si>
  <si>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</si>
  <si>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</si>
  <si>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</si>
  <si>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</si>
  <si>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</si>
  <si>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</si>
  <si>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</si>
  <si>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</si>
  <si>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</si>
  <si>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</si>
  <si>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</si>
  <si>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</si>
  <si>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</si>
  <si>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</si>
  <si>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</si>
  <si>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</si>
  <si>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</si>
  <si>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</si>
  <si>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</si>
  <si>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</si>
  <si>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</si>
  <si>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</si>
  <si>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</si>
  <si>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</si>
  <si>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</si>
  <si>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</si>
  <si>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</si>
  <si>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</si>
  <si>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</si>
  <si>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</si>
  <si>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</si>
  <si>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</si>
  <si>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</si>
  <si>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</si>
  <si>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</si>
  <si>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</si>
  <si>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</si>
  <si>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</si>
  <si>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</si>
  <si>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</si>
  <si>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</si>
  <si>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</si>
  <si>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</si>
  <si>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</si>
  <si>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</si>
  <si>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</si>
  <si>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</si>
  <si>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</si>
  <si>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</si>
  <si>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</si>
  <si>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</si>
  <si>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</si>
  <si>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</si>
  <si>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</si>
  <si>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</si>
  <si>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</si>
  <si>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</si>
  <si>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</si>
  <si>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</si>
  <si>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</si>
  <si>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</si>
  <si>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</si>
  <si>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</si>
  <si>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</si>
  <si>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</si>
  <si>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</si>
  <si>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</si>
  <si>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</si>
  <si>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</si>
  <si>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</si>
  <si>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</si>
  <si>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</si>
  <si>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</si>
  <si>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</si>
  <si>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</si>
  <si>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</si>
  <si>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</si>
  <si>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</si>
  <si>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</si>
  <si>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</si>
  <si>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</si>
  <si>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</si>
  <si>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</si>
  <si>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</si>
  <si>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</si>
  <si>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</si>
  <si>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</si>
  <si>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</si>
  <si>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</si>
  <si>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</si>
  <si>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</si>
  <si>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</si>
  <si>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</si>
  <si>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</si>
  <si>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</si>
  <si>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</si>
  <si>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</si>
  <si>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</si>
  <si>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</si>
  <si>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</si>
  <si>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</si>
  <si>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</si>
  <si>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</si>
  <si>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</si>
  <si>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</si>
  <si>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</si>
  <si>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</si>
  <si>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</si>
  <si>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</si>
  <si>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</si>
  <si>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</si>
  <si>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</si>
  <si>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</si>
  <si>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</si>
  <si>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</si>
  <si>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</si>
  <si>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</si>
  <si>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</si>
  <si>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</si>
  <si>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</si>
  <si>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</si>
  <si>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</si>
  <si>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</si>
  <si>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</si>
  <si>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</si>
  <si>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</si>
  <si>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</si>
  <si>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</si>
  <si>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</si>
  <si>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</si>
  <si>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</si>
  <si>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</si>
  <si>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</si>
  <si>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</si>
  <si>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</si>
  <si>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</si>
  <si>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</si>
  <si>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</si>
  <si>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</si>
  <si>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</si>
  <si>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</si>
  <si>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</si>
  <si>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</si>
  <si>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</si>
  <si>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</si>
  <si>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</si>
  <si>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</si>
  <si>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</si>
  <si>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</si>
  <si>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</si>
  <si>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</si>
  <si>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</si>
  <si>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</si>
  <si>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</si>
  <si>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</si>
  <si>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</si>
  <si>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</si>
  <si>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</si>
  <si>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</si>
  <si>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</si>
  <si>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</si>
  <si>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</si>
  <si>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</si>
  <si>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</si>
  <si>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</si>
  <si>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</si>
  <si>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</si>
  <si>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</si>
  <si>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</si>
  <si>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</si>
  <si>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</si>
  <si>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</si>
  <si>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</si>
  <si>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</si>
  <si>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</si>
  <si>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</si>
  <si>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</si>
  <si>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</si>
  <si>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</si>
  <si>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</si>
  <si>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</si>
  <si>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</si>
  <si>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</si>
  <si>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</si>
  <si>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</si>
  <si>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</si>
  <si>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</si>
  <si>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</si>
  <si>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</si>
  <si>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</si>
  <si>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</si>
  <si>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</si>
  <si>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</si>
  <si>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</si>
  <si>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</si>
  <si>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</si>
  <si>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</si>
  <si>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</si>
  <si>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</si>
  <si>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</si>
  <si>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</si>
  <si>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</si>
  <si>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</si>
  <si>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</si>
  <si>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</si>
  <si>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</si>
  <si>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</si>
  <si>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</si>
  <si>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</si>
  <si>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</si>
  <si>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</si>
  <si>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</si>
  <si>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</si>
  <si>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</si>
  <si>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</si>
  <si>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</si>
  <si>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</si>
  <si>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</si>
  <si>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</si>
  <si>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</si>
  <si>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</si>
  <si>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</si>
  <si>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</si>
  <si>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</si>
  <si>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</si>
  <si>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</si>
  <si>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</si>
  <si>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</si>
  <si>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</si>
  <si>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</si>
  <si>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</si>
  <si>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</si>
  <si>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</si>
  <si>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</si>
  <si>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</si>
  <si>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</si>
  <si>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</si>
  <si>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</si>
  <si>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</si>
  <si>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</si>
  <si>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</si>
  <si>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</si>
  <si>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</si>
  <si>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</si>
  <si>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</si>
  <si>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</si>
  <si>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</si>
  <si>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</si>
  <si>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</si>
  <si>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</si>
  <si>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</si>
  <si>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</si>
  <si>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</si>
  <si>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</si>
  <si>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</si>
  <si>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</si>
  <si>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</si>
  <si>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</si>
  <si>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</si>
  <si>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</si>
  <si>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</si>
  <si>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</si>
  <si>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</si>
  <si>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</si>
  <si>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</si>
  <si>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</si>
  <si>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</si>
  <si>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</si>
  <si>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</si>
  <si>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</si>
  <si>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</si>
  <si>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</si>
  <si>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</si>
  <si>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</si>
  <si>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</si>
  <si>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</si>
  <si>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</si>
  <si>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</si>
  <si>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</si>
  <si>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</si>
  <si>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</si>
  <si>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</si>
  <si>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</si>
  <si>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</si>
  <si>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</si>
  <si>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</si>
  <si>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</si>
  <si>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</si>
  <si>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</si>
  <si>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</si>
  <si>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</si>
  <si>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</si>
  <si>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</si>
  <si>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</si>
  <si>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</si>
  <si>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</si>
  <si>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</si>
  <si>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</si>
  <si>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</si>
  <si>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</si>
  <si>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</si>
  <si>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</si>
  <si>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</si>
  <si>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</si>
  <si>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</si>
  <si>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</si>
  <si>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</si>
  <si>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</si>
  <si>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</si>
  <si>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</si>
  <si>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</si>
  <si>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</si>
  <si>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</si>
  <si>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</si>
  <si>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</si>
  <si>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</si>
  <si>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</si>
  <si>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</si>
  <si>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</si>
  <si>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</si>
  <si>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</si>
  <si>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</si>
  <si>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</si>
  <si>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</si>
  <si>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</si>
  <si>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</si>
  <si>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</si>
  <si>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</si>
  <si>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</si>
  <si>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</si>
  <si>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</si>
  <si>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</si>
  <si>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</si>
  <si>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</si>
  <si>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</si>
  <si>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</si>
  <si>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</si>
  <si>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</si>
  <si>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</si>
  <si>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</si>
  <si>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</si>
  <si>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</si>
  <si>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</si>
  <si>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</si>
  <si>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</si>
  <si>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</si>
  <si>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</si>
  <si>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</si>
  <si>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</si>
  <si>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</si>
  <si>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</si>
  <si>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</si>
  <si>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</si>
  <si>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</si>
  <si>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</si>
  <si>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</si>
  <si>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</si>
  <si>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</si>
  <si>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</si>
  <si>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</si>
  <si>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</si>
  <si>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</si>
  <si>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</si>
  <si>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</si>
  <si>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</si>
  <si>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</si>
  <si>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</si>
  <si>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</si>
  <si>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</si>
  <si>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</si>
  <si>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</si>
  <si>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</si>
  <si>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</si>
  <si>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</si>
  <si>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</si>
  <si>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</si>
  <si>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</si>
  <si>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</si>
  <si>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</si>
  <si>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</si>
  <si>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</si>
  <si>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</si>
  <si>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</si>
  <si>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</si>
  <si>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</si>
  <si>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</si>
  <si>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</si>
  <si>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</si>
  <si>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</si>
  <si>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</si>
  <si>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</si>
  <si>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</si>
  <si>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</si>
  <si>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</si>
  <si>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</si>
  <si>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</si>
  <si>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</si>
  <si>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</si>
  <si>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</si>
  <si>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</si>
  <si>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</si>
  <si>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</si>
  <si>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</si>
  <si>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</si>
  <si>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</si>
  <si>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</si>
  <si>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</si>
  <si>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</si>
  <si>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</si>
  <si>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</si>
  <si>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</si>
  <si>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</si>
  <si>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</si>
  <si>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</si>
  <si>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</si>
  <si>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</si>
  <si>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</si>
  <si>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</si>
  <si>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</si>
  <si>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</si>
  <si>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</si>
  <si>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</si>
  <si>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</si>
  <si>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</si>
  <si>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</si>
  <si>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</si>
  <si>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</si>
  <si>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</si>
  <si>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</si>
  <si>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</si>
  <si>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</si>
  <si>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</si>
  <si>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</si>
  <si>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</si>
  <si>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</si>
  <si>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</si>
  <si>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</si>
  <si>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</si>
  <si>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</si>
  <si>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</si>
  <si>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</si>
  <si>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</si>
  <si>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</si>
  <si>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</si>
  <si>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</si>
  <si>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</si>
  <si>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</si>
  <si>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</si>
  <si>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</si>
  <si>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</si>
  <si>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</si>
  <si>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</si>
  <si>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</si>
  <si>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</si>
  <si>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</si>
  <si>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</si>
  <si>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</si>
  <si>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</si>
  <si>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</si>
  <si>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</si>
  <si>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</si>
  <si>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</si>
  <si>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</si>
  <si>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</si>
  <si>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</si>
  <si>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</si>
  <si>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</si>
  <si>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</si>
  <si>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</si>
  <si>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</si>
  <si>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</si>
  <si>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</si>
  <si>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</si>
  <si>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</si>
  <si>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</si>
  <si>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</si>
  <si>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</si>
  <si>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</si>
  <si>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</si>
  <si>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</si>
  <si>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</si>
  <si>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</si>
  <si>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</si>
  <si>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</si>
  <si>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</si>
  <si>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</si>
  <si>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</si>
  <si>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</si>
  <si>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</si>
  <si>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</si>
  <si>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</si>
  <si>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</si>
  <si>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</si>
  <si>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</si>
  <si>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</si>
  <si>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</si>
  <si>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</si>
  <si>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</si>
  <si>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</si>
  <si>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</si>
  <si>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</si>
  <si>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</si>
  <si>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</si>
  <si>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</si>
  <si>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</si>
  <si>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</si>
  <si>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</si>
  <si>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</si>
  <si>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</si>
  <si>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</si>
  <si>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</si>
  <si>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</si>
  <si>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</si>
  <si>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</si>
  <si>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</si>
  <si>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</si>
  <si>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</si>
  <si>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</si>
  <si>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</si>
  <si>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</si>
  <si>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</si>
  <si>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</si>
  <si>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</si>
  <si>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</si>
  <si>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</si>
  <si>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</si>
  <si>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</si>
  <si>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</si>
  <si>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</si>
  <si>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</si>
  <si>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</si>
  <si>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</si>
  <si>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</si>
  <si>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</si>
  <si>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</si>
  <si>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</si>
  <si>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</si>
  <si>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</si>
  <si>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</si>
  <si>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</si>
  <si>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</si>
  <si>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</si>
  <si>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</si>
  <si>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</si>
  <si>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</si>
  <si>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</si>
  <si>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</si>
  <si>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</si>
  <si>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</si>
  <si>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</si>
  <si>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</si>
  <si>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</si>
  <si>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</si>
  <si>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</si>
  <si>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</si>
  <si>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</si>
  <si>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</si>
  <si>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</si>
  <si>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</si>
  <si>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</si>
  <si>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</si>
  <si>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</si>
  <si>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</si>
  <si>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</si>
  <si>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</si>
  <si>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</si>
  <si>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</si>
  <si>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</si>
  <si>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</si>
  <si>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</si>
  <si>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</si>
  <si>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</si>
  <si>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</si>
  <si>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</si>
  <si>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</si>
  <si>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</si>
  <si>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</si>
  <si>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</si>
  <si>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</si>
  <si>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</si>
  <si>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</si>
  <si>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</si>
  <si>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</si>
  <si>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</si>
  <si>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</si>
  <si>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</si>
  <si>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</si>
  <si>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</si>
  <si>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</si>
  <si>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</si>
  <si>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</si>
  <si>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</si>
  <si>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</si>
  <si>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</si>
  <si>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</si>
  <si>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</si>
  <si>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</si>
  <si>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</si>
  <si>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</si>
  <si>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</si>
  <si>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</si>
  <si>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</si>
  <si>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</si>
  <si>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</si>
  <si>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</si>
  <si>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</si>
  <si>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</si>
  <si>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</si>
  <si>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</si>
  <si>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</si>
  <si>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</si>
  <si>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</si>
  <si>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</si>
  <si>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</si>
  <si>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</si>
  <si>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</si>
  <si>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</si>
  <si>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</si>
  <si>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</si>
  <si>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</si>
  <si>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</si>
  <si>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</si>
  <si>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</si>
  <si>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</si>
  <si>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</si>
  <si>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</si>
  <si>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</si>
  <si>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</si>
  <si>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</si>
  <si>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</si>
  <si>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</si>
  <si>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</si>
  <si>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</si>
  <si>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</si>
  <si>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</si>
  <si>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</si>
  <si>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</si>
  <si>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</si>
  <si>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</si>
  <si>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</si>
  <si>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</si>
  <si>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</si>
  <si>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</si>
  <si>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</si>
  <si>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</si>
  <si>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</si>
  <si>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</si>
  <si>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</si>
  <si>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</si>
  <si>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</si>
  <si>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</si>
  <si>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</si>
  <si>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</si>
  <si>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</si>
  <si>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</si>
  <si>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</si>
  <si>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</si>
  <si>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</si>
  <si>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</si>
  <si>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</si>
  <si>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</si>
  <si>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</si>
  <si>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</si>
  <si>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</si>
  <si>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</si>
  <si>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</si>
  <si>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</si>
  <si>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</si>
  <si>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</si>
  <si>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</si>
  <si>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</si>
  <si>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</si>
  <si>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</si>
  <si>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</si>
  <si>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</si>
  <si>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</si>
  <si>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</si>
  <si>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</si>
  <si>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</si>
  <si>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</si>
  <si>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</si>
  <si>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</si>
  <si>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</si>
  <si>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</si>
  <si>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</si>
  <si>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</si>
  <si>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</si>
  <si>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</si>
  <si>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</si>
  <si>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</si>
  <si>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</si>
  <si>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</si>
  <si>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</si>
  <si>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</si>
  <si>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</si>
  <si>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</si>
  <si>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</si>
  <si>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</si>
  <si>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</si>
  <si>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</si>
  <si>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</si>
  <si>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</si>
  <si>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</si>
  <si>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</si>
  <si>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</si>
  <si>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</si>
  <si>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</si>
  <si>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</si>
  <si>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</si>
  <si>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</si>
  <si>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</si>
  <si>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</si>
  <si>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</si>
  <si>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</si>
  <si>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</si>
  <si>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</si>
  <si>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</si>
  <si>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</si>
  <si>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</si>
  <si>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</si>
  <si>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</si>
  <si>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</si>
  <si>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</si>
  <si>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</si>
  <si>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</si>
  <si>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</si>
  <si>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</si>
  <si>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</si>
  <si>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</si>
  <si>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</si>
  <si>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</si>
  <si>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</si>
  <si>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</si>
  <si>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</si>
  <si>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</si>
  <si>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</si>
  <si>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</si>
  <si>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</si>
  <si>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</si>
  <si>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</si>
  <si>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</si>
  <si>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</si>
  <si>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</si>
  <si>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</si>
  <si>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</si>
  <si>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</si>
  <si>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</si>
  <si>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</si>
  <si>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</si>
  <si>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</si>
  <si>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</si>
  <si>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</si>
  <si>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</si>
  <si>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</si>
  <si>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</si>
  <si>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</si>
  <si>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</si>
  <si>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</si>
  <si>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</si>
  <si>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</si>
  <si>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</si>
  <si>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</si>
  <si>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</si>
  <si>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</si>
  <si>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</si>
  <si>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</si>
  <si>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</si>
  <si>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</si>
  <si>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</si>
  <si>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</si>
  <si>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</si>
  <si>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</si>
  <si>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</si>
  <si>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</si>
  <si>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</si>
  <si>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</si>
  <si>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</si>
  <si>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</si>
  <si>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</si>
  <si>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</si>
  <si>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</si>
  <si>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</si>
  <si>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</si>
  <si>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</si>
  <si>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</si>
  <si>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</si>
  <si>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</si>
  <si>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</si>
  <si>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</si>
  <si>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</si>
  <si>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</si>
  <si>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</si>
  <si>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</si>
  <si>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</si>
  <si>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</si>
  <si>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</si>
  <si>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</si>
  <si>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</si>
  <si>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</si>
  <si>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</si>
  <si>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</si>
  <si>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</si>
  <si>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</si>
  <si>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</si>
  <si>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</si>
  <si>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</si>
  <si>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</si>
  <si>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</si>
  <si>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</si>
  <si>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</si>
  <si>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</si>
  <si>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</si>
  <si>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</si>
  <si>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</si>
  <si>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</si>
  <si>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</si>
  <si>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</si>
  <si>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</si>
  <si>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</si>
  <si>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</si>
  <si>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</si>
  <si>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</si>
  <si>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</si>
  <si>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</si>
  <si>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</si>
  <si>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</si>
  <si>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</si>
  <si>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</si>
  <si>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</si>
  <si>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</si>
  <si>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</si>
  <si>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</si>
  <si>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</si>
  <si>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</si>
  <si>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</si>
  <si>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</si>
  <si>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</si>
  <si>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</si>
  <si>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</si>
  <si>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</si>
  <si>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</si>
  <si>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</si>
  <si>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</si>
  <si>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</si>
  <si>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</si>
  <si>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</si>
  <si>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</si>
  <si>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</si>
  <si>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</si>
  <si>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</si>
  <si>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</si>
  <si>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</si>
  <si>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</si>
  <si>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</si>
  <si>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</si>
  <si>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</si>
  <si>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</si>
  <si>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</si>
  <si>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</si>
  <si>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</si>
  <si>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</si>
  <si>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</si>
  <si>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</si>
  <si>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</si>
  <si>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</si>
  <si>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</si>
  <si>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</si>
  <si>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</si>
  <si>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</si>
  <si>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</si>
  <si>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</si>
  <si>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</si>
  <si>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</si>
  <si>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</si>
  <si>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</si>
  <si>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</si>
  <si>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</si>
  <si>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</si>
  <si>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</si>
  <si>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</si>
  <si>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</si>
  <si>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</si>
  <si>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</si>
  <si>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</si>
  <si>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</si>
  <si>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</si>
  <si>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</si>
  <si>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</si>
  <si>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</si>
  <si>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</si>
  <si>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</si>
  <si>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</si>
  <si>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</si>
  <si>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</si>
  <si>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</si>
  <si>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</si>
  <si>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</si>
  <si>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</si>
  <si>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</si>
  <si>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</si>
  <si>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</si>
  <si>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</si>
  <si>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</si>
  <si>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</si>
  <si>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</si>
  <si>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</si>
  <si>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</si>
  <si>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</si>
  <si>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</si>
  <si>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</si>
  <si>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</si>
  <si>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</si>
  <si>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</si>
  <si>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</si>
  <si>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</si>
  <si>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</si>
  <si>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</si>
  <si>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</si>
  <si>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</si>
  <si>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</si>
  <si>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</si>
  <si>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</si>
  <si>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</si>
  <si>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</si>
  <si>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</si>
  <si>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</si>
  <si>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</si>
  <si>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</si>
  <si>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</si>
  <si>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</si>
  <si>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</si>
  <si>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</si>
  <si>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</si>
  <si>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</si>
  <si>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</si>
  <si>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</si>
  <si>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</si>
  <si>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</si>
  <si>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</si>
  <si>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</si>
  <si>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</si>
  <si>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</si>
  <si>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</si>
  <si>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</si>
  <si>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</si>
  <si>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</si>
  <si>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</si>
  <si>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</si>
  <si>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</si>
  <si>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</si>
  <si>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</si>
  <si>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</si>
  <si>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</si>
  <si>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</si>
  <si>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</si>
  <si>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</si>
  <si>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</si>
  <si>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</si>
  <si>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</si>
  <si>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</si>
  <si>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</si>
  <si>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</si>
  <si>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</si>
  <si>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</si>
  <si>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</si>
  <si>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</si>
  <si>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</si>
  <si>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</si>
  <si>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</si>
  <si>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</si>
  <si>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</si>
  <si>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</si>
  <si>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</si>
  <si>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</si>
  <si>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</si>
  <si>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</si>
  <si>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</si>
  <si>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</si>
  <si>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</si>
  <si>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</si>
  <si>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</si>
  <si>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</si>
  <si>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</si>
  <si>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</si>
  <si>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</si>
  <si>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</si>
  <si>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</si>
  <si>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</si>
  <si>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</si>
  <si>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</si>
  <si>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</si>
  <si>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</si>
  <si>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</si>
  <si>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</si>
  <si>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</si>
  <si>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</si>
  <si>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</si>
  <si>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</si>
  <si>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</si>
  <si>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</si>
  <si>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</si>
  <si>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</si>
  <si>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</si>
  <si>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</si>
  <si>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</si>
  <si>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</si>
  <si>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</si>
  <si>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</si>
  <si>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</si>
  <si>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</si>
  <si>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</si>
  <si>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</si>
  <si>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</si>
  <si>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</si>
  <si>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</si>
  <si>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</si>
  <si>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</si>
  <si>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</si>
  <si>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</si>
  <si>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</si>
  <si>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</si>
  <si>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</si>
  <si>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</si>
  <si>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</si>
  <si>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</si>
  <si>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</si>
  <si>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</si>
  <si>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</si>
  <si>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</si>
  <si>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</si>
  <si>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</si>
  <si>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</si>
  <si>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</si>
  <si>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</si>
  <si>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</si>
  <si>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</si>
  <si>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</si>
  <si>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</si>
  <si>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</si>
  <si>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</si>
  <si>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</si>
  <si>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</si>
  <si>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</si>
  <si>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</si>
  <si>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</si>
  <si>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</si>
  <si>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</si>
  <si>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</si>
  <si>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</si>
  <si>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</si>
  <si>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</si>
  <si>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</si>
  <si>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</si>
  <si>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</si>
  <si>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</si>
  <si>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</si>
  <si>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</si>
  <si>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</si>
  <si>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</si>
  <si>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</si>
  <si>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</si>
  <si>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</si>
  <si>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</si>
  <si>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</si>
  <si>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</si>
  <si>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</si>
  <si>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</si>
  <si>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</si>
  <si>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</si>
  <si>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</si>
  <si>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</si>
  <si>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</si>
  <si>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</si>
  <si>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</si>
  <si>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</si>
  <si>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</si>
  <si>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</si>
  <si>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</si>
  <si>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</si>
  <si>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</si>
  <si>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</si>
  <si>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</si>
  <si>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</si>
  <si>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</si>
  <si>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</si>
  <si>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</si>
  <si>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</si>
  <si>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</si>
  <si>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</si>
  <si>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</si>
  <si>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</si>
  <si>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</si>
  <si>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</si>
  <si>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</si>
  <si>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</si>
  <si>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</si>
  <si>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</si>
  <si>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</si>
  <si>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</si>
  <si>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</si>
  <si>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</si>
  <si>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</si>
  <si>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</si>
  <si>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</si>
  <si>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</si>
  <si>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</si>
  <si>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</si>
  <si>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</si>
  <si>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</si>
  <si>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</si>
  <si>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</si>
  <si>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</si>
  <si>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</si>
  <si>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</si>
  <si>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</si>
  <si>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</si>
  <si>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</si>
  <si>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</si>
  <si>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</si>
  <si>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</si>
  <si>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</si>
  <si>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</si>
  <si>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</si>
  <si>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</si>
  <si>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</si>
  <si>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</si>
  <si>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</si>
  <si>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</si>
  <si>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</si>
  <si>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</si>
  <si>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</si>
  <si>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</si>
  <si>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</si>
  <si>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</si>
  <si>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</si>
  <si>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</si>
  <si>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</si>
  <si>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</si>
  <si>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</si>
  <si>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</si>
  <si>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</si>
  <si>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</si>
  <si>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</si>
  <si>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</si>
  <si>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</si>
  <si>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</si>
  <si>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</si>
  <si>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</si>
  <si>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</si>
  <si>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</si>
  <si>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</si>
  <si>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</si>
  <si>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</si>
  <si>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</si>
  <si>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</si>
  <si>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</si>
  <si>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</si>
  <si>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</si>
  <si>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</si>
  <si>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</si>
  <si>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</si>
  <si>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</si>
  <si>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</si>
  <si>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</si>
  <si>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</si>
  <si>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</si>
  <si>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</si>
  <si>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</si>
  <si>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</si>
  <si>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</si>
  <si>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</si>
  <si>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</si>
  <si>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</si>
  <si>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</si>
  <si>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</si>
  <si>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</si>
  <si>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</si>
  <si>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</si>
  <si>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</si>
  <si>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</si>
  <si>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</si>
  <si>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</si>
  <si>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</si>
  <si>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</si>
  <si>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</si>
  <si>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</si>
  <si>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</si>
  <si>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</si>
  <si>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</si>
  <si>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</si>
  <si>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</si>
  <si>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</si>
  <si>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</si>
  <si>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</si>
  <si>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</si>
  <si>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</si>
  <si>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</si>
  <si>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</si>
  <si>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</si>
  <si>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</si>
  <si>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</si>
  <si>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</si>
  <si>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</si>
  <si>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</si>
  <si>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</si>
  <si>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</si>
  <si>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</si>
  <si>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</si>
  <si>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</si>
  <si>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</si>
  <si>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</si>
  <si>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</si>
  <si>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</si>
  <si>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</si>
  <si>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</si>
  <si>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</si>
  <si>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</si>
  <si>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</si>
  <si>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</si>
  <si>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</si>
  <si>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</si>
  <si>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</si>
  <si>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</si>
  <si>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</si>
  <si>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</si>
  <si>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</si>
  <si>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</si>
  <si>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</si>
  <si>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</si>
  <si>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</si>
  <si>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</si>
  <si>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</si>
  <si>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</si>
  <si>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</si>
  <si>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</si>
  <si>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</si>
  <si>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</si>
  <si>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</si>
  <si>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</si>
  <si>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</si>
  <si>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</si>
  <si>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</si>
  <si>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</si>
  <si>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</si>
  <si>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</si>
  <si>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</si>
  <si>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</si>
  <si>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</si>
  <si>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</si>
  <si>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</si>
  <si>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</si>
  <si>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</si>
  <si>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</si>
  <si>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</si>
  <si>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</si>
  <si>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</si>
  <si>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</si>
  <si>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</si>
  <si>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</si>
  <si>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</si>
  <si>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</si>
  <si>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</si>
  <si>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</si>
  <si>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</si>
  <si>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</si>
  <si>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</si>
  <si>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</si>
  <si>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</si>
  <si>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</si>
  <si>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</si>
  <si>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</si>
  <si>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</si>
  <si>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</si>
  <si>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</si>
  <si>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</si>
  <si>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</si>
  <si>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</si>
  <si>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</si>
  <si>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</si>
  <si>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</si>
  <si>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</si>
  <si>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</si>
  <si>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</si>
  <si>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</si>
  <si>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</si>
  <si>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</si>
  <si>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</si>
  <si>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</si>
  <si>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</si>
  <si>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</si>
  <si>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</si>
  <si>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</si>
  <si>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</si>
  <si>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</si>
  <si>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</si>
  <si>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</si>
  <si>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</si>
  <si>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</si>
  <si>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</si>
  <si>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</si>
  <si>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</si>
  <si>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</si>
  <si>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</si>
  <si>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</si>
  <si>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</si>
  <si>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</si>
  <si>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</si>
  <si>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</si>
  <si>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</si>
  <si>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</si>
  <si>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</si>
  <si>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</si>
  <si>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</si>
  <si>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</si>
  <si>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</si>
  <si>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</si>
  <si>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</si>
  <si>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</si>
  <si>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</si>
  <si>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</si>
  <si>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</si>
  <si>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</si>
  <si>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</si>
  <si>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</si>
  <si>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</si>
  <si>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</si>
  <si>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</si>
  <si>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</si>
  <si>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</si>
  <si>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</si>
  <si>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</si>
  <si>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</si>
  <si>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</si>
  <si>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</si>
  <si>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</si>
  <si>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</si>
  <si>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</si>
  <si>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</si>
  <si>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</si>
  <si>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</si>
  <si>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</si>
  <si>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</si>
  <si>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</si>
  <si>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</si>
  <si>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</si>
  <si>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</si>
  <si>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</si>
  <si>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</si>
  <si>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</si>
  <si>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</si>
  <si>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</si>
  <si>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</si>
  <si>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</si>
  <si>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</si>
  <si>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</si>
  <si>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</si>
  <si>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</si>
  <si>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</si>
  <si>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</si>
  <si>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</si>
  <si>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</si>
  <si>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</si>
  <si>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</si>
  <si>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</si>
  <si>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</si>
  <si>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</si>
  <si>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</si>
  <si>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</si>
  <si>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</si>
  <si>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</si>
  <si>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</si>
  <si>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</si>
  <si>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</si>
  <si>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</si>
  <si>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</si>
  <si>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</si>
  <si>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</si>
  <si>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</si>
  <si>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</si>
  <si>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</si>
  <si>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</si>
  <si>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</si>
  <si>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</si>
  <si>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</si>
  <si>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</si>
  <si>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</si>
  <si>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</si>
  <si>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</si>
  <si>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</si>
  <si>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</si>
  <si>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</si>
  <si>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</si>
  <si>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</si>
  <si>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</si>
  <si>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</si>
  <si>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</si>
  <si>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</si>
  <si>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</si>
  <si>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</si>
  <si>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</si>
  <si>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</si>
  <si>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</si>
  <si>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</si>
  <si>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</si>
  <si>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</si>
  <si>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</si>
  <si>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</si>
  <si>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</si>
  <si>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</si>
  <si>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</si>
  <si>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</si>
  <si>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</si>
  <si>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</si>
  <si>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</si>
  <si>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</si>
  <si>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</si>
  <si>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</si>
  <si>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</si>
  <si>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</si>
  <si>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</si>
  <si>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</si>
  <si>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</si>
  <si>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</si>
  <si>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</si>
  <si>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</si>
  <si>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</si>
  <si>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</si>
  <si>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</si>
  <si>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</si>
  <si>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</si>
  <si>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</si>
  <si>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</si>
  <si>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</si>
  <si>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</si>
  <si>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</si>
  <si>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</si>
  <si>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</si>
  <si>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</si>
  <si>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</si>
  <si>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</si>
  <si>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</si>
  <si>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</si>
  <si>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</si>
  <si>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</si>
  <si>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</si>
  <si>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</si>
  <si>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</si>
  <si>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</si>
  <si>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</si>
  <si>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</si>
  <si>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</si>
  <si>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</si>
  <si>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</si>
  <si>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</si>
  <si>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</si>
  <si>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</si>
  <si>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</si>
  <si>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</si>
  <si>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</si>
  <si>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</si>
  <si>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</si>
  <si>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</si>
  <si>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</si>
  <si>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</si>
  <si>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</si>
  <si>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</si>
  <si>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</si>
  <si>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</si>
  <si>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</si>
  <si>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</si>
  <si>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</si>
  <si>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</si>
  <si>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</si>
  <si>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</si>
  <si>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</si>
  <si>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</si>
  <si>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</si>
  <si>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</si>
  <si>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</si>
  <si>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</si>
  <si>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</si>
  <si>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</si>
  <si>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</si>
  <si>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</si>
  <si>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</si>
  <si>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</si>
  <si>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</si>
  <si>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</si>
  <si>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</si>
  <si>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</si>
  <si>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</si>
  <si>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</si>
  <si>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</si>
  <si>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</si>
  <si>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</si>
  <si>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</si>
  <si>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</si>
  <si>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</si>
  <si>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</si>
  <si>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</si>
  <si>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</si>
  <si>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</si>
  <si>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</si>
  <si>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</si>
  <si>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</si>
  <si>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</si>
  <si>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</si>
  <si>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</si>
  <si>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</si>
  <si>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</si>
  <si>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</si>
  <si>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</si>
  <si>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</si>
  <si>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</si>
  <si>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</si>
  <si>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</si>
  <si>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</si>
  <si>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</si>
  <si>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</si>
  <si>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</si>
  <si>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</si>
  <si>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</si>
  <si>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</si>
  <si>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</si>
  <si>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</si>
  <si>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</si>
  <si>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</si>
  <si>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</si>
  <si>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</si>
  <si>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</si>
  <si>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</si>
  <si>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</si>
  <si>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</si>
  <si>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</si>
  <si>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</si>
  <si>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</si>
  <si>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</si>
  <si>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</si>
  <si>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</si>
  <si>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</si>
  <si>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</si>
  <si>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</si>
  <si>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</si>
  <si>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</si>
  <si>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</si>
  <si>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</si>
  <si>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</si>
  <si>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</si>
  <si>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</si>
  <si>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</si>
  <si>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</si>
  <si>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</si>
  <si>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</si>
  <si>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</si>
  <si>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</si>
  <si>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</si>
  <si>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</si>
  <si>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</si>
  <si>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</si>
  <si>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</si>
  <si>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</si>
  <si>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</si>
  <si>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</si>
  <si>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</si>
  <si>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</si>
  <si>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</si>
  <si>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</si>
  <si>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</si>
  <si>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</si>
  <si>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</si>
  <si>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</si>
  <si>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</si>
  <si>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</si>
  <si>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</si>
  <si>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</si>
  <si>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</si>
  <si>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</si>
  <si>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</si>
  <si>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</si>
  <si>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</si>
  <si>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</si>
  <si>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</si>
  <si>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</si>
  <si>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</si>
  <si>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</si>
  <si>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</si>
  <si>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</si>
  <si>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</si>
  <si>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</si>
  <si>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</si>
  <si>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</si>
  <si>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</si>
  <si>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</si>
  <si>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</si>
  <si>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</si>
  <si>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</si>
  <si>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</si>
  <si>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</si>
  <si>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</si>
  <si>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</si>
  <si>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</si>
  <si>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</si>
  <si>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</si>
  <si>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</si>
  <si>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</si>
  <si>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</si>
  <si>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</si>
  <si>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</si>
  <si>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</si>
  <si>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</si>
  <si>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</si>
  <si>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</si>
  <si>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</si>
  <si>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</si>
  <si>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</si>
  <si>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</si>
  <si>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</si>
  <si>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</si>
  <si>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</si>
  <si>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</si>
  <si>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</si>
  <si>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</si>
  <si>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</si>
  <si>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</si>
  <si>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</si>
  <si>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</si>
  <si>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</si>
  <si>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</si>
  <si>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</si>
  <si>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</si>
  <si>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</si>
  <si>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</si>
  <si>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</si>
  <si>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</si>
  <si>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</si>
  <si>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</si>
  <si>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</si>
  <si>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</si>
  <si>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</si>
  <si>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</si>
  <si>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</si>
  <si>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</si>
  <si>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</si>
  <si>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</si>
  <si>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</si>
  <si>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</si>
  <si>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</si>
  <si>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</si>
  <si>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</si>
  <si>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</si>
  <si>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</si>
  <si>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</si>
  <si>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</si>
  <si>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</si>
  <si>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</si>
  <si>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</si>
  <si>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</si>
  <si>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</si>
  <si>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</si>
  <si>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</si>
  <si>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</si>
  <si>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</si>
  <si>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</si>
  <si>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</si>
  <si>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</si>
  <si>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</si>
  <si>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</si>
  <si>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</si>
  <si>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</si>
  <si>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</si>
  <si>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</si>
  <si>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</si>
  <si>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</si>
  <si>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</si>
  <si>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</si>
  <si>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</si>
  <si>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</si>
  <si>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</si>
  <si>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</si>
  <si>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</si>
  <si>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</si>
  <si>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</si>
  <si>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</si>
  <si>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</si>
  <si>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</si>
  <si>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</si>
  <si>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</si>
  <si>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</si>
  <si>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</si>
  <si>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</si>
  <si>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</si>
  <si>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</si>
  <si>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</si>
  <si>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</si>
  <si>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</si>
  <si>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</si>
  <si>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</si>
  <si>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</si>
  <si>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</si>
  <si>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</si>
  <si>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</si>
  <si>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</si>
  <si>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</si>
  <si>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</si>
  <si>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</si>
  <si>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</si>
  <si>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</si>
  <si>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</si>
  <si>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</si>
  <si>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</si>
  <si>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</si>
  <si>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</si>
  <si>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</si>
  <si>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</si>
  <si>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</si>
  <si>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</si>
  <si>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</si>
  <si>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</si>
  <si>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</si>
  <si>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</si>
  <si>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</si>
  <si>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</si>
  <si>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</si>
  <si>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</si>
  <si>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</si>
  <si>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</si>
  <si>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</si>
  <si>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</si>
  <si>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</si>
  <si>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</si>
  <si>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</si>
  <si>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</si>
  <si>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</si>
  <si>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</si>
  <si>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</si>
  <si>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</si>
  <si>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</si>
  <si>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</si>
  <si>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</si>
  <si>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</si>
  <si>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</si>
  <si>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</si>
  <si>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</si>
  <si>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</si>
  <si>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</si>
  <si>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</si>
  <si>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</si>
  <si>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</si>
  <si>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</si>
  <si>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</si>
  <si>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</si>
  <si>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</si>
  <si>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</si>
  <si>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</si>
  <si>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</si>
  <si>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</si>
  <si>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</si>
  <si>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</si>
  <si>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</si>
  <si>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</si>
  <si>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</si>
  <si>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</si>
  <si>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</si>
  <si>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</si>
  <si>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</si>
  <si>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</si>
  <si>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</si>
  <si>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</si>
  <si>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</si>
  <si>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</si>
  <si>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</si>
  <si>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</si>
  <si>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</si>
  <si>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</si>
  <si>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</si>
  <si>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</si>
  <si>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</si>
  <si>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</si>
  <si>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</si>
  <si>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</si>
  <si>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</si>
  <si>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</si>
  <si>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</si>
  <si>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</si>
  <si>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</si>
  <si>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</si>
  <si>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</si>
  <si>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</si>
  <si>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</si>
  <si>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</si>
  <si>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</si>
  <si>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</si>
  <si>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</si>
  <si>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</si>
  <si>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</si>
  <si>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</si>
  <si>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</si>
  <si>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</si>
  <si>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</si>
  <si>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</si>
  <si>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</si>
  <si>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</si>
  <si>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</si>
  <si>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</si>
  <si>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</si>
  <si>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</si>
  <si>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</si>
  <si>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</si>
  <si>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</si>
  <si>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</si>
  <si>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</si>
  <si>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</si>
  <si>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</si>
  <si>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</si>
  <si>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</si>
  <si>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</si>
  <si>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</si>
  <si>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</si>
  <si>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</si>
  <si>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</si>
  <si>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</si>
  <si>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</si>
  <si>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</si>
  <si>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</si>
  <si>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</si>
  <si>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</si>
  <si>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</si>
  <si>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</si>
  <si>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</si>
  <si>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</si>
  <si>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</si>
  <si>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</si>
  <si>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</si>
  <si>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</si>
  <si>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</si>
  <si>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</si>
  <si>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</si>
  <si>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</si>
  <si>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</si>
  <si>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</si>
  <si>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</si>
  <si>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</si>
  <si>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</si>
  <si>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</si>
  <si>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</si>
  <si>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</si>
  <si>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</si>
  <si>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</si>
  <si>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</si>
  <si>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</si>
  <si>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</si>
  <si>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</si>
  <si>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</si>
  <si>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</si>
  <si>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</si>
  <si>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</si>
  <si>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</si>
  <si>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</si>
  <si>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</si>
  <si>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</si>
  <si>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</si>
  <si>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</si>
  <si>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</si>
  <si>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</si>
  <si>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</si>
  <si>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</si>
  <si>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</si>
  <si>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</si>
  <si>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</si>
  <si>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</si>
  <si>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</si>
  <si>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</si>
  <si>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</si>
  <si>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</si>
  <si>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</si>
  <si>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</si>
  <si>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</si>
  <si>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</si>
  <si>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</si>
  <si>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</si>
  <si>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</si>
  <si>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</si>
  <si>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</si>
  <si>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</si>
  <si>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</si>
  <si>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</si>
  <si>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</si>
  <si>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</si>
  <si>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</si>
  <si>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</si>
  <si>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</si>
  <si>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</si>
  <si>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</si>
  <si>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</si>
  <si>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</si>
  <si>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</si>
  <si>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</si>
  <si>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</si>
  <si>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</si>
  <si>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</si>
  <si>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</si>
  <si>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</si>
  <si>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</si>
  <si>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</si>
  <si>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</si>
  <si>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</si>
  <si>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</si>
  <si>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</si>
  <si>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</si>
  <si>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</si>
  <si>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</si>
  <si>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</si>
  <si>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</si>
  <si>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</si>
  <si>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</si>
  <si>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</si>
  <si>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</si>
  <si>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</si>
  <si>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</si>
  <si>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</si>
  <si>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</si>
  <si>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</si>
  <si>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</si>
  <si>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</si>
  <si>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</si>
  <si>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</si>
  <si>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</si>
  <si>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</si>
  <si>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</si>
  <si>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</si>
  <si>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</si>
  <si>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</si>
  <si>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</si>
  <si>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</si>
  <si>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</si>
  <si>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</si>
  <si>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</si>
  <si>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</si>
  <si>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</si>
  <si>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</si>
  <si>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</si>
  <si>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</si>
  <si>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</si>
  <si>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</si>
  <si>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</si>
  <si>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</si>
  <si>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</si>
  <si>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</si>
  <si>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</si>
  <si>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</si>
  <si>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</si>
  <si>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</si>
  <si>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</si>
  <si>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</si>
  <si>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</si>
  <si>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</si>
  <si>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</si>
  <si>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</si>
  <si>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</si>
  <si>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</si>
  <si>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</si>
  <si>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</si>
  <si>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</si>
  <si>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</si>
  <si>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</si>
  <si>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</si>
  <si>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</si>
  <si>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</si>
  <si>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</si>
  <si>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</si>
  <si>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</si>
  <si>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</si>
  <si>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</si>
  <si>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</si>
  <si>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</si>
  <si>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</si>
  <si>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</si>
  <si>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</si>
  <si>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</si>
  <si>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</si>
  <si>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</si>
  <si>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</si>
  <si>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</si>
  <si>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</si>
  <si>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</si>
  <si>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</si>
  <si>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</si>
  <si>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</si>
  <si>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</si>
  <si>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</si>
  <si>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</si>
  <si>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</si>
  <si>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</si>
  <si>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</si>
  <si>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</si>
  <si>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</si>
  <si>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</si>
  <si>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</si>
  <si>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</si>
  <si>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</si>
  <si>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</si>
  <si>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</si>
  <si>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</si>
  <si>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</si>
  <si>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</si>
  <si>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</si>
  <si>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</si>
  <si>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</si>
  <si>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</si>
  <si>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</si>
  <si>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</si>
  <si>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</si>
  <si>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</si>
  <si>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</si>
  <si>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</si>
  <si>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</si>
  <si>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</si>
  <si>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</si>
  <si>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</si>
  <si>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</si>
  <si>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</si>
  <si>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</si>
  <si>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</si>
  <si>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</si>
  <si>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</si>
  <si>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</si>
  <si>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</si>
  <si>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</si>
  <si>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</si>
  <si>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</si>
  <si>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</si>
  <si>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</si>
  <si>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</si>
  <si>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</si>
  <si>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</si>
  <si>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</si>
  <si>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</si>
  <si>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</si>
  <si>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</si>
  <si>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</si>
  <si>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</si>
  <si>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</si>
  <si>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</si>
  <si>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</si>
  <si>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</si>
  <si>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</si>
  <si>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</si>
  <si>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</si>
  <si>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</si>
  <si>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</si>
  <si>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</si>
  <si>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</si>
  <si>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</si>
  <si>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</si>
  <si>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</si>
  <si>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</si>
  <si>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</si>
  <si>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</si>
  <si>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</si>
  <si>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</si>
  <si>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</si>
  <si>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</si>
  <si>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</si>
  <si>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</si>
  <si>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</si>
  <si>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</si>
  <si>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</si>
  <si>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</si>
  <si>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</si>
  <si>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</si>
  <si>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</si>
  <si>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</si>
  <si>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</si>
  <si>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</si>
  <si>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</si>
  <si>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</si>
  <si>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</si>
  <si>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</si>
  <si>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</si>
  <si>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</si>
  <si>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</si>
  <si>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</si>
  <si>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</si>
  <si>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</si>
  <si>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</si>
  <si>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</si>
  <si>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</si>
  <si>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</si>
  <si>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</si>
  <si>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</si>
  <si>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</si>
  <si>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</si>
  <si>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</si>
  <si>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</si>
  <si>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</si>
  <si>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</si>
  <si>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</si>
  <si>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</si>
  <si>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</si>
  <si>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</si>
  <si>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</si>
  <si>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</si>
  <si>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</si>
  <si>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</si>
  <si>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</si>
  <si>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</si>
  <si>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</si>
  <si>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</si>
  <si>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</si>
  <si>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</si>
  <si>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</si>
  <si>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</si>
  <si>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</si>
  <si>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</si>
  <si>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</si>
  <si>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</si>
  <si>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</si>
  <si>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</si>
  <si>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</si>
  <si>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</si>
  <si>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</si>
  <si>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</si>
  <si>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</si>
  <si>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</si>
  <si>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</si>
  <si>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</si>
  <si>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</si>
  <si>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</si>
  <si>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</si>
  <si>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</si>
  <si>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</si>
  <si>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</si>
  <si>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</si>
  <si>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</si>
  <si>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</si>
  <si>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</si>
  <si>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</si>
  <si>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</si>
  <si>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</si>
  <si>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</si>
  <si>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</si>
  <si>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</si>
  <si>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</si>
  <si>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</si>
  <si>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</si>
  <si>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</si>
  <si>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</si>
  <si>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</si>
  <si>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</si>
  <si>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</si>
  <si>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</si>
  <si>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</si>
  <si>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</si>
  <si>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</si>
  <si>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</si>
  <si>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</si>
  <si>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</si>
  <si>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</si>
  <si>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</si>
  <si>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</si>
  <si>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</si>
  <si>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</si>
  <si>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</si>
  <si>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</si>
  <si>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</si>
  <si>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</si>
  <si>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</si>
  <si>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</si>
  <si>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</si>
  <si>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SOH/ BUDGET &amp; FINANCE/ FEDERAL AWARDS MANAGEMENT</t>
  </si>
  <si>
    <t>Partner Engineering &amp; Science</t>
  </si>
  <si>
    <t>by</t>
  </si>
  <si>
    <t>*Hal Fletcher</t>
  </si>
  <si>
    <t>*Ian Sandison/Joyce Tam-Sugiyama</t>
  </si>
  <si>
    <t>*Tyson Tamashiro</t>
  </si>
  <si>
    <t>*Stephen Shaw</t>
  </si>
  <si>
    <t>jl</t>
  </si>
  <si>
    <t>Brian Canevari</t>
  </si>
  <si>
    <t>Greater Pacific Law Office</t>
  </si>
  <si>
    <t>*Jennifer Lim</t>
  </si>
  <si>
    <t>Tyler Ralston</t>
  </si>
  <si>
    <t>Mike Biechler</t>
  </si>
  <si>
    <t>Tyler Dos Santos-Tam</t>
  </si>
  <si>
    <t>RGA Claims Management</t>
  </si>
  <si>
    <t>*Loren Seehase</t>
  </si>
  <si>
    <t>AEI Consultants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</si>
</sst>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E9" zoomScale="62" zoomScaleNormal="62" zoomScaleSheetLayoutView="30" zoomScalePageLayoutView="50" workbookViewId="0">
      <selection activeCell="AH32" sqref="AH32"/>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3272</v>
      </c>
      <c r="B3" s="310" t="s">
        <v>3272</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CC_HONOLULU_PLANNING_AND_PERMITTING</v>
      </c>
      <c r="B10" s="636" t="str">
        <f>B3</f>
        <v>CC_HONOLULU_PLANNING_AND_PERMITTING</v>
      </c>
      <c r="C10" s="557">
        <f>COUNTA(D12:D1011)</f>
        <v>22</v>
      </c>
      <c r="D10" s="558">
        <f>COUNTIF(D12:D1011,"*~**")</f>
        <v>8</v>
      </c>
      <c r="E10" s="559"/>
      <c r="F10" s="560">
        <f>COUNTIF(F12:F1011,"x")</f>
        <v>0</v>
      </c>
      <c r="G10" s="561">
        <f>COUNTA(G12:G1011)-(COUNTA(G12:G1011)-COUNT(G12:G1011))</f>
        <v>22</v>
      </c>
      <c r="H10" s="561">
        <f>COUNTA(H12:H1011)-(COUNTA(H12:H1011)-COUNT(H12:H1011))</f>
        <v>18</v>
      </c>
      <c r="I10" s="562">
        <f>COUNTIF(I12:I1011,"x")</f>
        <v>18</v>
      </c>
      <c r="J10" s="563">
        <f>COUNTIF(J12:J1011,"x")</f>
        <v>1</v>
      </c>
      <c r="K10" s="564">
        <f>COUNTIF(K12:K1011,"x")</f>
        <v>2</v>
      </c>
      <c r="L10" s="565">
        <f>COUNTIF(L12:L1011,"x")</f>
        <v>1</v>
      </c>
      <c r="M10" s="564">
        <f>COUNTA(M12:M1011)</f>
        <v>17</v>
      </c>
      <c r="N10" s="566">
        <f>SUM(AW12:AW1011)</f>
        <v>233</v>
      </c>
      <c r="O10" s="567">
        <f t="shared" ref="O10:U10" si="10">COUNTIF(O12:O1011,"x")</f>
        <v>7</v>
      </c>
      <c r="P10" s="567">
        <f t="shared" si="10"/>
        <v>0</v>
      </c>
      <c r="Q10" s="567">
        <f t="shared" si="10"/>
        <v>11</v>
      </c>
      <c r="R10" s="567">
        <f t="shared" si="10"/>
        <v>0</v>
      </c>
      <c r="S10" s="567">
        <f>COUNTIF(S12:S1011,"x")</f>
        <v>3</v>
      </c>
      <c r="T10" s="567">
        <f t="shared" si="10"/>
        <v>1</v>
      </c>
      <c r="U10" s="568">
        <f t="shared" si="10"/>
        <v>0</v>
      </c>
      <c r="V10" s="569">
        <f>SUM(V12:V1011)</f>
        <v>31.5</v>
      </c>
      <c r="W10" s="570">
        <f t="shared" ref="W10:AA10" si="11">SUM(W12:W1011)</f>
        <v>4.75</v>
      </c>
      <c r="X10" s="571">
        <f t="shared" si="11"/>
        <v>0</v>
      </c>
      <c r="Y10" s="571">
        <f>SUM(Y12:Y1011)</f>
        <v>36.25</v>
      </c>
      <c r="Z10" s="572">
        <f t="shared" si="11"/>
        <v>410</v>
      </c>
      <c r="AA10" s="573">
        <f t="shared" si="11"/>
        <v>0</v>
      </c>
      <c r="AB10" s="574">
        <f>COUNTIFS(AB12:AB1011,-30,Z12:Z1011,"&gt;0")</f>
        <v>17</v>
      </c>
      <c r="AC10" s="575">
        <f>COUNTIFS(AC12:AC1011,"x",Z12:Z1011,"&gt;0")</f>
        <v>0</v>
      </c>
      <c r="AD10" s="572">
        <f>SUMIF(AD12:AD1011,"&lt;0")</f>
        <v>0</v>
      </c>
      <c r="AE10" s="576">
        <f>SUMIFS(AE12:AE1011,AE12:AE1011,"&gt;0",Z12:Z1011,"&gt;0")</f>
        <v>95</v>
      </c>
      <c r="AF10" s="577">
        <f t="shared" ref="AF10:BH10" si="12">SUMIF(AF12:AF1011,"&gt;0")</f>
        <v>2080.25</v>
      </c>
      <c r="AG10" s="578">
        <f t="shared" si="12"/>
        <v>2080.25</v>
      </c>
      <c r="AH10" s="577">
        <f t="shared" si="12"/>
        <v>2080.25</v>
      </c>
      <c r="AI10" s="579">
        <f t="shared" si="12"/>
        <v>2175.25</v>
      </c>
      <c r="AJ10" s="579">
        <f t="shared" si="12"/>
        <v>2490.25</v>
      </c>
      <c r="AK10" s="578">
        <f t="shared" si="12"/>
        <v>410</v>
      </c>
      <c r="AL10" s="577">
        <f t="shared" si="12"/>
        <v>1186.75</v>
      </c>
      <c r="AM10" s="579">
        <f t="shared" si="12"/>
        <v>1281.75</v>
      </c>
      <c r="AN10" s="579">
        <f t="shared" si="12"/>
        <v>1311.75</v>
      </c>
      <c r="AO10" s="578">
        <f t="shared" si="12"/>
        <v>125</v>
      </c>
      <c r="AP10" s="580">
        <f>COUNT(AP12:AP1011)</f>
        <v>0</v>
      </c>
      <c r="AQ10" s="581">
        <f t="shared" ref="AQ10:AV10" si="13">COUNT(AQ12:AQ1011)</f>
        <v>7</v>
      </c>
      <c r="AR10" s="581">
        <f t="shared" si="13"/>
        <v>4</v>
      </c>
      <c r="AS10" s="581">
        <f t="shared" si="13"/>
        <v>3</v>
      </c>
      <c r="AT10" s="581">
        <f>COUNT(AT12:AT1011)</f>
        <v>0</v>
      </c>
      <c r="AU10" s="581">
        <f t="shared" si="13"/>
        <v>1</v>
      </c>
      <c r="AV10" s="582">
        <f t="shared" si="13"/>
        <v>0</v>
      </c>
      <c r="AW10" s="580">
        <f t="shared" si="12"/>
        <v>233</v>
      </c>
      <c r="AX10" s="581">
        <f t="shared" si="12"/>
        <v>22</v>
      </c>
      <c r="AY10" s="581">
        <f t="shared" si="12"/>
        <v>211</v>
      </c>
      <c r="AZ10" s="582">
        <f t="shared" si="12"/>
        <v>0</v>
      </c>
      <c r="BA10" s="583">
        <f t="shared" si="12"/>
        <v>31.5</v>
      </c>
      <c r="BB10" s="584">
        <f>SUMIF(BB12:BB1011,"&gt;0")</f>
        <v>12</v>
      </c>
      <c r="BC10" s="584">
        <f t="shared" si="12"/>
        <v>19.5</v>
      </c>
      <c r="BD10" s="585">
        <f t="shared" si="12"/>
        <v>0</v>
      </c>
      <c r="BE10" s="586">
        <f t="shared" si="12"/>
        <v>4.75</v>
      </c>
      <c r="BF10" s="584">
        <f t="shared" si="12"/>
        <v>0.25</v>
      </c>
      <c r="BG10" s="584">
        <f t="shared" si="12"/>
        <v>4.5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f>N10/M10</f>
        <v>13.705882352941176</v>
      </c>
      <c r="O11" s="228"/>
      <c r="P11" s="228"/>
      <c r="Q11" s="228"/>
      <c r="R11" s="228"/>
      <c r="S11" s="228"/>
      <c r="T11" s="228"/>
      <c r="U11" s="229"/>
      <c r="V11" s="387">
        <f t="shared" ref="V11:AA11" si="14">AVERAGEIF(V12:V1011,"&lt;&gt;0")</f>
        <v>1.8529411764705883</v>
      </c>
      <c r="W11" s="387">
        <f t="shared" si="14"/>
        <v>0.47499999999999998</v>
      </c>
      <c r="X11" s="387" t="e">
        <f t="shared" si="14"/>
        <v>#DIV/0!</v>
      </c>
      <c r="Y11" s="387">
        <f t="shared" si="14"/>
        <v>2.1323529411764706</v>
      </c>
      <c r="Z11" s="381">
        <f>AVERAGEIF(Z12:Z1011,"&lt;&gt;0")</f>
        <v>24.117647058823529</v>
      </c>
      <c r="AA11" s="381" t="e">
        <f t="shared" si="14"/>
        <v>#DIV/0!</v>
      </c>
      <c r="AB11" s="388"/>
      <c r="AC11" s="387"/>
      <c r="AD11" s="379" t="e">
        <f>AVERAGEIF(AD12:AD1011,"&lt;0")</f>
        <v>#DIV/0!</v>
      </c>
      <c r="AE11" s="427">
        <f>AVERAGEIFS(AE12:AE1011,AE12:AE1011,"&gt;0",Z12:Z1011,"&gt;0")</f>
        <v>95</v>
      </c>
      <c r="AF11" s="230">
        <f t="shared" ref="AF11:BH11" si="15">AVERAGEIF(AF12:AF1011,"&gt;0")</f>
        <v>138.68333333333334</v>
      </c>
      <c r="AG11" s="231">
        <f t="shared" si="15"/>
        <v>138.68333333333334</v>
      </c>
      <c r="AH11" s="232">
        <f t="shared" si="15"/>
        <v>138.68333333333334</v>
      </c>
      <c r="AI11" s="233">
        <f t="shared" si="15"/>
        <v>145.01666666666668</v>
      </c>
      <c r="AJ11" s="233">
        <f t="shared" si="15"/>
        <v>146.48529411764707</v>
      </c>
      <c r="AK11" s="234">
        <f t="shared" si="15"/>
        <v>24.117647058823529</v>
      </c>
      <c r="AL11" s="232">
        <f t="shared" si="15"/>
        <v>1186.75</v>
      </c>
      <c r="AM11" s="233">
        <f t="shared" si="15"/>
        <v>1281.75</v>
      </c>
      <c r="AN11" s="233">
        <f t="shared" si="15"/>
        <v>1311.75</v>
      </c>
      <c r="AO11" s="234">
        <f t="shared" si="15"/>
        <v>125</v>
      </c>
      <c r="AP11" s="607">
        <f>SUM(AP12:AP1011)</f>
        <v>0</v>
      </c>
      <c r="AQ11" s="623">
        <f t="shared" ref="AQ11:AV11" si="16">SUM(AQ12:AQ1011)</f>
        <v>175.5</v>
      </c>
      <c r="AR11" s="623">
        <f t="shared" si="16"/>
        <v>325.75</v>
      </c>
      <c r="AS11" s="623">
        <f t="shared" si="16"/>
        <v>392.25</v>
      </c>
      <c r="AT11" s="623">
        <f t="shared" si="16"/>
        <v>0</v>
      </c>
      <c r="AU11" s="623">
        <f t="shared" si="16"/>
        <v>1186.75</v>
      </c>
      <c r="AV11" s="624">
        <f t="shared" si="16"/>
        <v>0</v>
      </c>
      <c r="AW11" s="389">
        <f t="shared" si="15"/>
        <v>13.705882352941176</v>
      </c>
      <c r="AX11" s="235">
        <f t="shared" si="15"/>
        <v>22</v>
      </c>
      <c r="AY11" s="235">
        <f t="shared" si="15"/>
        <v>13.1875</v>
      </c>
      <c r="AZ11" s="390" t="e">
        <f t="shared" si="15"/>
        <v>#DIV/0!</v>
      </c>
      <c r="BA11" s="389">
        <f t="shared" si="15"/>
        <v>1.8529411764705883</v>
      </c>
      <c r="BB11" s="235">
        <f t="shared" si="15"/>
        <v>12</v>
      </c>
      <c r="BC11" s="235">
        <f t="shared" si="15"/>
        <v>1.21875</v>
      </c>
      <c r="BD11" s="390" t="e">
        <f t="shared" si="15"/>
        <v>#DIV/0!</v>
      </c>
      <c r="BE11" s="389">
        <f t="shared" si="15"/>
        <v>0.47499999999999998</v>
      </c>
      <c r="BF11" s="235">
        <f t="shared" si="15"/>
        <v>0.25</v>
      </c>
      <c r="BG11" s="391">
        <f t="shared" si="15"/>
        <v>0.5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3452</v>
      </c>
      <c r="E12" s="180" t="s">
        <v>3453</v>
      </c>
      <c r="F12" s="34"/>
      <c r="G12" s="131">
        <v>43290</v>
      </c>
      <c r="H12" s="136">
        <v>43301</v>
      </c>
      <c r="I12" s="140" t="s">
        <v>0</v>
      </c>
      <c r="J12" s="78"/>
      <c r="K12" s="144"/>
      <c r="L12" s="119"/>
      <c r="M12" s="394">
        <v>43301</v>
      </c>
      <c r="N12" s="158">
        <f>IF((NETWORKDAYS(G12,M12)&gt;0),(NETWORKDAYS(G12,M12)),"")</f>
        <v>10</v>
      </c>
      <c r="O12" s="311" t="s">
        <v>0</v>
      </c>
      <c r="P12" s="311"/>
      <c r="Q12" s="311"/>
      <c r="R12" s="311"/>
      <c r="S12" s="311"/>
      <c r="T12" s="311"/>
      <c r="U12" s="312"/>
      <c r="V12" s="181">
        <v>2</v>
      </c>
      <c r="W12" s="313"/>
      <c r="X12" s="313"/>
      <c r="Y12" s="160">
        <f t="shared" ref="Y12:Y75" si="17">V12+W12+X12</f>
        <v>2</v>
      </c>
      <c r="Z12" s="159">
        <f t="shared" ref="Z12:Z76" si="18">IF((F12="x"),0,((V12*10)+(W12*20)))</f>
        <v>20</v>
      </c>
      <c r="AA12" s="326"/>
      <c r="AB12" s="399">
        <f>IF(AND(Z12&gt;=0,F12="x"),0,IF(AND(Z12&gt;0,AC12="x"),0,IF(Z12&gt;0,0-30,0)))</f>
        <v>-30</v>
      </c>
      <c r="AC12" s="369"/>
      <c r="AD12" s="226" t="str">
        <f t="shared" ref="AD12:AD75" si="19">IF(F12="x",(0-((V12*10)+(W12*20))),"")</f>
        <v/>
      </c>
      <c r="AE12" s="368">
        <f>IF(AND(Z12&gt;0,F12="x"),0,IF(AND(Z12&gt;0,AC12="x"),Z12-60,IF(AND(Z12&gt;0,AB12=-30),Z12+AB12,0)))</f>
        <v>-10</v>
      </c>
      <c r="AF12" s="331">
        <v>35.75</v>
      </c>
      <c r="AG12" s="332">
        <v>35.75</v>
      </c>
      <c r="AH12" s="331">
        <v>35.75</v>
      </c>
      <c r="AI12" s="161">
        <f t="shared" ref="AI12:AI76" si="20">IF(AE12&lt;=0,AG12,AE12+AG12)</f>
        <v>35.75</v>
      </c>
      <c r="AJ12" s="162">
        <f t="shared" ref="AJ12:AJ75" si="21">(X12*20)+Z12+AA12+AF12</f>
        <v>55.75</v>
      </c>
      <c r="AK12" s="163">
        <f>AJ12-AH12</f>
        <v>20</v>
      </c>
      <c r="AL12" s="164">
        <f>IF(K12="x",AH12,0)</f>
        <v>0</v>
      </c>
      <c r="AM12" s="164">
        <f>IF(K12="x",AI12,0)</f>
        <v>0</v>
      </c>
      <c r="AN12" s="164">
        <f>IF(K12="x",AJ12,0)</f>
        <v>0</v>
      </c>
      <c r="AO12" s="164">
        <f>IF(K12="x",AK12,0)</f>
        <v>0</v>
      </c>
      <c r="AP12" s="608" t="str">
        <f>IF(AND(AH12&gt;0,AH12&lt;5),AH12," ")</f>
        <v xml:space="preserve"> </v>
      </c>
      <c r="AQ12" s="612">
        <f>IF(AND(AH12&gt;4.99,AH12&lt;50),AH12," ")</f>
        <v>35.75</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10</v>
      </c>
      <c r="AX12" s="165" t="str">
        <f t="shared" ref="AX12:AX75" si="23">IF(AND(K12="x",AW12&gt;0),AW12,"")</f>
        <v/>
      </c>
      <c r="AY12" s="192">
        <f t="shared" ref="AY12:AY75" si="24">IF(OR(K12="x",F12="x",AW12&lt;=0),"",AW12)</f>
        <v>10</v>
      </c>
      <c r="AZ12" s="182" t="str">
        <f t="shared" ref="AZ12:AZ75" si="25">IF(AND(F12="x",AW12&gt;0),AW12,"")</f>
        <v/>
      </c>
      <c r="BA12" s="178">
        <f t="shared" ref="BA12:BA75" si="26">IF(V12&gt;0,V12,"")</f>
        <v>2</v>
      </c>
      <c r="BB12" s="179" t="str">
        <f t="shared" ref="BB12:BB75" si="27">IF(AND(K12="x",BA12&gt;0),BA12,"")</f>
        <v/>
      </c>
      <c r="BC12" s="187">
        <f>IF(OR(K12="x",F12="x",BA12&lt;=0),"",BA12)</f>
        <v>2</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3454</v>
      </c>
      <c r="E13" s="81" t="s">
        <v>3453</v>
      </c>
      <c r="F13" s="34"/>
      <c r="G13" s="131">
        <v>43297</v>
      </c>
      <c r="H13" s="132">
        <v>43305</v>
      </c>
      <c r="I13" s="140" t="s">
        <v>0</v>
      </c>
      <c r="J13" s="78"/>
      <c r="K13" s="144"/>
      <c r="L13" s="119"/>
      <c r="M13" s="395">
        <v>43305</v>
      </c>
      <c r="N13" s="158">
        <f t="shared" ref="N13:N76" si="33">IF((NETWORKDAYS(G13,M13)&gt;0),(NETWORKDAYS(G13,M13)),"")</f>
        <v>7</v>
      </c>
      <c r="O13" s="311" t="s">
        <v>0</v>
      </c>
      <c r="P13" s="311"/>
      <c r="Q13" s="311"/>
      <c r="R13" s="311"/>
      <c r="S13" s="311"/>
      <c r="T13" s="312"/>
      <c r="U13" s="314"/>
      <c r="V13" s="167">
        <v>2</v>
      </c>
      <c r="W13" s="313"/>
      <c r="X13" s="313"/>
      <c r="Y13" s="160">
        <f t="shared" si="17"/>
        <v>2</v>
      </c>
      <c r="Z13" s="159">
        <f t="shared" si="18"/>
        <v>20</v>
      </c>
      <c r="AA13" s="326"/>
      <c r="AB13" s="400">
        <f>IF(AND(Z13&gt;=0,F13="x"),0,IF(AND(Z13&gt;0,AC13="x"),0,IF(Z13&gt;0,0-30,0)))</f>
        <v>-30</v>
      </c>
      <c r="AC13" s="370"/>
      <c r="AD13" s="226" t="str">
        <f t="shared" si="19"/>
        <v/>
      </c>
      <c r="AE13" s="368">
        <f t="shared" ref="AE13:AE76" si="34">IF(AND(Z13&gt;0,F13="x"),0,IF(AND(Z13&gt;0,AC13="x"),Z13-60,IF(AND(Z13&gt;0,AB13=-30),Z13+AB13,0)))</f>
        <v>-10</v>
      </c>
      <c r="AF13" s="331">
        <v>38.75</v>
      </c>
      <c r="AG13" s="333">
        <v>38.75</v>
      </c>
      <c r="AH13" s="334">
        <v>38.75</v>
      </c>
      <c r="AI13" s="161">
        <f t="shared" si="20"/>
        <v>38.75</v>
      </c>
      <c r="AJ13" s="162">
        <f t="shared" si="21"/>
        <v>58.75</v>
      </c>
      <c r="AK13" s="163">
        <f t="shared" ref="AK13:AK76" si="35">AJ13-AH13</f>
        <v>20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f t="shared" ref="AQ13:AQ76" si="40">IF(AND(AH13&gt;4.99,AH13&lt;50),AH13," ")</f>
        <v>38.75</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7</v>
      </c>
      <c r="AX13" s="165" t="str">
        <f t="shared" si="23"/>
        <v/>
      </c>
      <c r="AY13" s="193">
        <f t="shared" si="24"/>
        <v>7</v>
      </c>
      <c r="AZ13" s="183" t="str">
        <f t="shared" si="25"/>
        <v/>
      </c>
      <c r="BA13" s="173">
        <f t="shared" si="26"/>
        <v>2</v>
      </c>
      <c r="BB13" s="174" t="str">
        <f t="shared" si="27"/>
        <v/>
      </c>
      <c r="BC13" s="186">
        <f>IF(OR(K13="x",F13="X",BA13&lt;=0),"",BA13)</f>
        <v>2</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3454</v>
      </c>
      <c r="E14" s="81" t="s">
        <v>3453</v>
      </c>
      <c r="F14" s="34"/>
      <c r="G14" s="134">
        <v>43297</v>
      </c>
      <c r="H14" s="135">
        <v>43308</v>
      </c>
      <c r="I14" s="170" t="s">
        <v>0</v>
      </c>
      <c r="J14" s="171"/>
      <c r="K14" s="145"/>
      <c r="L14" s="28"/>
      <c r="M14" s="398">
        <v>43308</v>
      </c>
      <c r="N14" s="158">
        <f t="shared" si="33"/>
        <v>10</v>
      </c>
      <c r="O14" s="311" t="s">
        <v>0</v>
      </c>
      <c r="P14" s="311"/>
      <c r="Q14" s="311"/>
      <c r="R14" s="311"/>
      <c r="S14" s="311"/>
      <c r="T14" s="312"/>
      <c r="U14" s="314"/>
      <c r="V14" s="167">
        <v>2</v>
      </c>
      <c r="W14" s="313"/>
      <c r="X14" s="313"/>
      <c r="Y14" s="160">
        <f t="shared" si="17"/>
        <v>2</v>
      </c>
      <c r="Z14" s="159">
        <f t="shared" si="18"/>
        <v>20</v>
      </c>
      <c r="AA14" s="326"/>
      <c r="AB14" s="400">
        <f t="shared" ref="AB14:AB77" si="41">IF(AND(Z14&gt;=0,F14="x"),0,IF(AND(Z14&gt;0,AC14="x"),0,IF(Z14&gt;0,0-30,0)))</f>
        <v>-30</v>
      </c>
      <c r="AC14" s="370"/>
      <c r="AD14" s="226" t="str">
        <f t="shared" si="19"/>
        <v/>
      </c>
      <c r="AE14" s="368">
        <f t="shared" si="34"/>
        <v>-10</v>
      </c>
      <c r="AF14" s="331">
        <v>23</v>
      </c>
      <c r="AG14" s="333">
        <v>23</v>
      </c>
      <c r="AH14" s="334">
        <v>23</v>
      </c>
      <c r="AI14" s="161">
        <f t="shared" si="20"/>
        <v>23</v>
      </c>
      <c r="AJ14" s="162">
        <f t="shared" si="21"/>
        <v>43</v>
      </c>
      <c r="AK14" s="163">
        <f t="shared" si="35"/>
        <v>20</v>
      </c>
      <c r="AL14" s="164">
        <f t="shared" si="36"/>
        <v>0</v>
      </c>
      <c r="AM14" s="164">
        <f t="shared" si="37"/>
        <v>0</v>
      </c>
      <c r="AN14" s="164">
        <f t="shared" si="38"/>
        <v>0</v>
      </c>
      <c r="AO14" s="164">
        <f t="shared" si="39"/>
        <v>0</v>
      </c>
      <c r="AP14" s="609" t="str">
        <f t="shared" ref="AP14:AP77" si="42">IF(AND(AH14&gt;0,AH14&lt;5),AH14," ")</f>
        <v xml:space="preserve"> </v>
      </c>
      <c r="AQ14" s="613">
        <f t="shared" si="40"/>
        <v>23</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10</v>
      </c>
      <c r="AX14" s="165" t="str">
        <f t="shared" si="23"/>
        <v/>
      </c>
      <c r="AY14" s="193">
        <f t="shared" si="24"/>
        <v>10</v>
      </c>
      <c r="AZ14" s="183" t="str">
        <f t="shared" si="25"/>
        <v/>
      </c>
      <c r="BA14" s="173">
        <f t="shared" si="26"/>
        <v>2</v>
      </c>
      <c r="BB14" s="174" t="str">
        <f t="shared" si="27"/>
        <v/>
      </c>
      <c r="BC14" s="186">
        <f>IF(OR(K14="x",F14="X",BA14&lt;=0),"",BA14)</f>
        <v>2</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3455</v>
      </c>
      <c r="E15" s="33" t="s">
        <v>3453</v>
      </c>
      <c r="F15" s="34"/>
      <c r="G15" s="134">
        <v>43299</v>
      </c>
      <c r="H15" s="135"/>
      <c r="I15" s="142"/>
      <c r="J15" s="79"/>
      <c r="K15" s="145"/>
      <c r="L15" s="172"/>
      <c r="M15" s="395"/>
      <c r="N15" s="158" t="str">
        <f t="shared" si="33"/>
        <v/>
      </c>
      <c r="O15" s="315"/>
      <c r="P15" s="315"/>
      <c r="Q15" s="315"/>
      <c r="R15" s="315"/>
      <c r="S15" s="315" t="s">
        <v>0</v>
      </c>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3456</v>
      </c>
      <c r="E16" s="16" t="s">
        <v>3453</v>
      </c>
      <c r="F16" s="17"/>
      <c r="G16" s="131">
        <v>43318</v>
      </c>
      <c r="H16" s="136">
        <v>43320</v>
      </c>
      <c r="I16" s="140" t="s">
        <v>0</v>
      </c>
      <c r="J16" s="78"/>
      <c r="K16" s="146"/>
      <c r="L16" s="120"/>
      <c r="M16" s="394">
        <v>43320</v>
      </c>
      <c r="N16" s="158">
        <f t="shared" si="33"/>
        <v>3</v>
      </c>
      <c r="O16" s="27" t="s">
        <v>0</v>
      </c>
      <c r="P16" s="27"/>
      <c r="Q16" s="27"/>
      <c r="R16" s="27"/>
      <c r="S16" s="27"/>
      <c r="T16" s="28"/>
      <c r="U16" s="29"/>
      <c r="V16" s="167">
        <v>2</v>
      </c>
      <c r="W16" s="313"/>
      <c r="X16" s="313"/>
      <c r="Y16" s="160">
        <f t="shared" si="17"/>
        <v>2</v>
      </c>
      <c r="Z16" s="159">
        <f t="shared" si="18"/>
        <v>20</v>
      </c>
      <c r="AA16" s="327"/>
      <c r="AB16" s="400">
        <f t="shared" si="41"/>
        <v>-30</v>
      </c>
      <c r="AC16" s="371"/>
      <c r="AD16" s="226" t="str">
        <f t="shared" si="19"/>
        <v/>
      </c>
      <c r="AE16" s="368">
        <f t="shared" si="34"/>
        <v>-10</v>
      </c>
      <c r="AF16" s="335">
        <v>161.75</v>
      </c>
      <c r="AG16" s="333">
        <v>161.75</v>
      </c>
      <c r="AH16" s="336">
        <v>161.75</v>
      </c>
      <c r="AI16" s="161">
        <f t="shared" si="20"/>
        <v>161.75</v>
      </c>
      <c r="AJ16" s="162">
        <f t="shared" si="21"/>
        <v>181.75</v>
      </c>
      <c r="AK16" s="163">
        <f t="shared" si="35"/>
        <v>20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f t="shared" si="44"/>
        <v>161.75</v>
      </c>
      <c r="AT16" s="613" t="str">
        <f t="shared" si="45"/>
        <v xml:space="preserve"> </v>
      </c>
      <c r="AU16" s="613" t="str">
        <f t="shared" si="46"/>
        <v xml:space="preserve"> </v>
      </c>
      <c r="AV16" s="614" t="str">
        <f t="shared" si="47"/>
        <v xml:space="preserve"> </v>
      </c>
      <c r="AW16" s="196">
        <f t="shared" si="22"/>
        <v>3</v>
      </c>
      <c r="AX16" s="165" t="str">
        <f t="shared" si="23"/>
        <v/>
      </c>
      <c r="AY16" s="193">
        <f t="shared" si="24"/>
        <v>3</v>
      </c>
      <c r="AZ16" s="183" t="str">
        <f t="shared" si="25"/>
        <v/>
      </c>
      <c r="BA16" s="173">
        <f t="shared" si="26"/>
        <v>2</v>
      </c>
      <c r="BB16" s="174" t="str">
        <f t="shared" si="27"/>
        <v/>
      </c>
      <c r="BC16" s="186">
        <f>IF(OR(K16="x",F16="x",BA16&lt;=0),"",BA16)</f>
        <v>2</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3457</v>
      </c>
      <c r="E17" s="16" t="s">
        <v>3458</v>
      </c>
      <c r="F17" s="17"/>
      <c r="G17" s="131">
        <v>43361</v>
      </c>
      <c r="H17" s="133">
        <v>43370</v>
      </c>
      <c r="I17" s="140" t="s">
        <v>0</v>
      </c>
      <c r="J17" s="78"/>
      <c r="K17" s="144"/>
      <c r="L17" s="119"/>
      <c r="M17" s="394">
        <v>43448</v>
      </c>
      <c r="N17" s="158">
        <f t="shared" si="33"/>
        <v>64</v>
      </c>
      <c r="O17" s="27"/>
      <c r="P17" s="27"/>
      <c r="Q17" s="27" t="s">
        <v>0</v>
      </c>
      <c r="R17" s="27"/>
      <c r="S17" s="27"/>
      <c r="T17" s="28"/>
      <c r="U17" s="29"/>
      <c r="V17" s="32">
        <v>0.25</v>
      </c>
      <c r="W17" s="318">
        <v>0.25</v>
      </c>
      <c r="X17" s="319"/>
      <c r="Y17" s="160">
        <f t="shared" si="17"/>
        <v>0.5</v>
      </c>
      <c r="Z17" s="159">
        <f t="shared" si="18"/>
        <v>7.5</v>
      </c>
      <c r="AA17" s="327"/>
      <c r="AB17" s="400">
        <f t="shared" si="41"/>
        <v>-30</v>
      </c>
      <c r="AC17" s="371"/>
      <c r="AD17" s="226" t="str">
        <f t="shared" si="19"/>
        <v/>
      </c>
      <c r="AE17" s="368">
        <f t="shared" si="34"/>
        <v>-22.5</v>
      </c>
      <c r="AF17" s="335">
        <v>6.5</v>
      </c>
      <c r="AG17" s="333">
        <v>6.5</v>
      </c>
      <c r="AH17" s="336">
        <v>6.5</v>
      </c>
      <c r="AI17" s="161">
        <f t="shared" si="20"/>
        <v>6.5</v>
      </c>
      <c r="AJ17" s="162">
        <f t="shared" si="21"/>
        <v>14</v>
      </c>
      <c r="AK17" s="163">
        <f t="shared" si="35"/>
        <v>7.5</v>
      </c>
      <c r="AL17" s="164">
        <f t="shared" si="36"/>
        <v>0</v>
      </c>
      <c r="AM17" s="164">
        <f t="shared" si="37"/>
        <v>0</v>
      </c>
      <c r="AN17" s="164">
        <f t="shared" si="38"/>
        <v>0</v>
      </c>
      <c r="AO17" s="164">
        <f t="shared" si="39"/>
        <v>0</v>
      </c>
      <c r="AP17" s="610" t="str">
        <f t="shared" si="42"/>
        <v xml:space="preserve"> </v>
      </c>
      <c r="AQ17" s="613">
        <f t="shared" si="40"/>
        <v>6.5</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64</v>
      </c>
      <c r="AX17" s="165" t="str">
        <f t="shared" si="23"/>
        <v/>
      </c>
      <c r="AY17" s="193">
        <f t="shared" si="24"/>
        <v>64</v>
      </c>
      <c r="AZ17" s="183" t="str">
        <f t="shared" si="25"/>
        <v/>
      </c>
      <c r="BA17" s="173">
        <f t="shared" si="26"/>
        <v>0.25</v>
      </c>
      <c r="BB17" s="174" t="str">
        <f t="shared" si="27"/>
        <v/>
      </c>
      <c r="BC17" s="186">
        <f>IF(OR(K17="x",F17="x",BA17&lt;=0),"",BA17)</f>
        <v>0.25</v>
      </c>
      <c r="BD17" s="174" t="str">
        <f t="shared" si="28"/>
        <v/>
      </c>
      <c r="BE17" s="201">
        <f t="shared" si="29"/>
        <v>0.25</v>
      </c>
      <c r="BF17" s="174" t="str">
        <f t="shared" si="30"/>
        <v/>
      </c>
      <c r="BG17" s="186">
        <f t="shared" si="31"/>
        <v>0.25</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3459</v>
      </c>
      <c r="E18" s="16" t="s">
        <v>3453</v>
      </c>
      <c r="F18" s="17"/>
      <c r="G18" s="134">
        <v>43369</v>
      </c>
      <c r="H18" s="135">
        <v>43378</v>
      </c>
      <c r="I18" s="141" t="s">
        <v>0</v>
      </c>
      <c r="J18" s="25"/>
      <c r="K18" s="145"/>
      <c r="L18" s="28"/>
      <c r="M18" s="395">
        <v>43378</v>
      </c>
      <c r="N18" s="158">
        <f t="shared" si="33"/>
        <v>8</v>
      </c>
      <c r="O18" s="27"/>
      <c r="P18" s="27"/>
      <c r="Q18" s="27" t="s">
        <v>0</v>
      </c>
      <c r="R18" s="27"/>
      <c r="S18" s="27"/>
      <c r="T18" s="28"/>
      <c r="U18" s="29"/>
      <c r="V18" s="32">
        <v>1.5</v>
      </c>
      <c r="W18" s="318">
        <v>0.5</v>
      </c>
      <c r="X18" s="319"/>
      <c r="Y18" s="160">
        <f t="shared" si="17"/>
        <v>2</v>
      </c>
      <c r="Z18" s="159">
        <f t="shared" si="18"/>
        <v>25</v>
      </c>
      <c r="AA18" s="327"/>
      <c r="AB18" s="400">
        <f t="shared" si="41"/>
        <v>-30</v>
      </c>
      <c r="AC18" s="371"/>
      <c r="AD18" s="226" t="str">
        <f t="shared" si="19"/>
        <v/>
      </c>
      <c r="AE18" s="368">
        <f t="shared" si="34"/>
        <v>-5</v>
      </c>
      <c r="AF18" s="335">
        <v>27</v>
      </c>
      <c r="AG18" s="333">
        <v>27</v>
      </c>
      <c r="AH18" s="336">
        <v>27</v>
      </c>
      <c r="AI18" s="161">
        <f t="shared" si="20"/>
        <v>27</v>
      </c>
      <c r="AJ18" s="162">
        <f t="shared" si="21"/>
        <v>52</v>
      </c>
      <c r="AK18" s="163">
        <f t="shared" si="35"/>
        <v>25</v>
      </c>
      <c r="AL18" s="164">
        <f t="shared" si="36"/>
        <v>0</v>
      </c>
      <c r="AM18" s="164">
        <f t="shared" si="37"/>
        <v>0</v>
      </c>
      <c r="AN18" s="164">
        <f t="shared" si="38"/>
        <v>0</v>
      </c>
      <c r="AO18" s="164">
        <f t="shared" si="39"/>
        <v>0</v>
      </c>
      <c r="AP18" s="610" t="str">
        <f t="shared" si="42"/>
        <v xml:space="preserve"> </v>
      </c>
      <c r="AQ18" s="613">
        <f t="shared" si="40"/>
        <v>27</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8</v>
      </c>
      <c r="AX18" s="165" t="str">
        <f t="shared" si="23"/>
        <v/>
      </c>
      <c r="AY18" s="193">
        <f t="shared" si="24"/>
        <v>8</v>
      </c>
      <c r="AZ18" s="183" t="str">
        <f t="shared" si="25"/>
        <v/>
      </c>
      <c r="BA18" s="173">
        <f t="shared" si="26"/>
        <v>1.5</v>
      </c>
      <c r="BB18" s="174" t="str">
        <f t="shared" si="27"/>
        <v/>
      </c>
      <c r="BC18" s="186">
        <f t="shared" ref="BC18:BC81" si="48">IF(OR(K18="x",F18="X",BA18&lt;=0),"",BA18)</f>
        <v>1.5</v>
      </c>
      <c r="BD18" s="174" t="str">
        <f t="shared" si="28"/>
        <v/>
      </c>
      <c r="BE18" s="201">
        <f t="shared" si="29"/>
        <v>0.5</v>
      </c>
      <c r="BF18" s="174" t="str">
        <f t="shared" si="30"/>
        <v/>
      </c>
      <c r="BG18" s="186">
        <f t="shared" si="31"/>
        <v>0.5</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3460</v>
      </c>
      <c r="E19" s="18" t="s">
        <v>3453</v>
      </c>
      <c r="F19" s="17"/>
      <c r="G19" s="134">
        <v>43418</v>
      </c>
      <c r="H19" s="135">
        <v>43423</v>
      </c>
      <c r="I19" s="141" t="s">
        <v>0</v>
      </c>
      <c r="J19" s="25"/>
      <c r="K19" s="145"/>
      <c r="L19" s="28"/>
      <c r="M19" s="395">
        <v>43423</v>
      </c>
      <c r="N19" s="158">
        <f t="shared" si="33"/>
        <v>4</v>
      </c>
      <c r="O19" s="27" t="s">
        <v>0</v>
      </c>
      <c r="P19" s="27"/>
      <c r="Q19" s="27"/>
      <c r="R19" s="27"/>
      <c r="S19" s="27"/>
      <c r="T19" s="28"/>
      <c r="U19" s="29"/>
      <c r="V19" s="32">
        <v>1.5</v>
      </c>
      <c r="W19" s="318"/>
      <c r="X19" s="319"/>
      <c r="Y19" s="160">
        <f t="shared" si="17"/>
        <v>1.5</v>
      </c>
      <c r="Z19" s="159">
        <f t="shared" si="18"/>
        <v>15</v>
      </c>
      <c r="AA19" s="327"/>
      <c r="AB19" s="400">
        <f t="shared" si="41"/>
        <v>-30</v>
      </c>
      <c r="AC19" s="371"/>
      <c r="AD19" s="226" t="str">
        <f t="shared" si="19"/>
        <v/>
      </c>
      <c r="AE19" s="368">
        <f t="shared" si="34"/>
        <v>-15</v>
      </c>
      <c r="AF19" s="335">
        <v>93.5</v>
      </c>
      <c r="AG19" s="333">
        <v>93.5</v>
      </c>
      <c r="AH19" s="336">
        <v>93.5</v>
      </c>
      <c r="AI19" s="161">
        <f t="shared" si="20"/>
        <v>93.5</v>
      </c>
      <c r="AJ19" s="162">
        <f t="shared" si="21"/>
        <v>108.5</v>
      </c>
      <c r="AK19" s="163">
        <f t="shared" si="35"/>
        <v>15</v>
      </c>
      <c r="AL19" s="164">
        <f t="shared" si="36"/>
        <v>0</v>
      </c>
      <c r="AM19" s="164">
        <f t="shared" si="37"/>
        <v>0</v>
      </c>
      <c r="AN19" s="164">
        <f t="shared" si="38"/>
        <v>0</v>
      </c>
      <c r="AO19" s="164">
        <f t="shared" si="39"/>
        <v>0</v>
      </c>
      <c r="AP19" s="610" t="str">
        <f t="shared" si="42"/>
        <v xml:space="preserve"> </v>
      </c>
      <c r="AQ19" s="613" t="str">
        <f t="shared" si="40"/>
        <v xml:space="preserve"> </v>
      </c>
      <c r="AR19" s="613">
        <f t="shared" si="43"/>
        <v>93.5</v>
      </c>
      <c r="AS19" s="613" t="str">
        <f t="shared" si="44"/>
        <v xml:space="preserve"> </v>
      </c>
      <c r="AT19" s="613" t="str">
        <f t="shared" si="45"/>
        <v xml:space="preserve"> </v>
      </c>
      <c r="AU19" s="613" t="str">
        <f t="shared" si="46"/>
        <v xml:space="preserve"> </v>
      </c>
      <c r="AV19" s="614" t="str">
        <f t="shared" si="47"/>
        <v xml:space="preserve"> </v>
      </c>
      <c r="AW19" s="196">
        <f t="shared" si="22"/>
        <v>4</v>
      </c>
      <c r="AX19" s="165" t="str">
        <f t="shared" si="23"/>
        <v/>
      </c>
      <c r="AY19" s="193">
        <f t="shared" si="24"/>
        <v>4</v>
      </c>
      <c r="AZ19" s="183" t="str">
        <f t="shared" si="25"/>
        <v/>
      </c>
      <c r="BA19" s="173">
        <f t="shared" si="26"/>
        <v>1.5</v>
      </c>
      <c r="BB19" s="174" t="str">
        <f t="shared" si="27"/>
        <v/>
      </c>
      <c r="BC19" s="186">
        <f t="shared" si="48"/>
        <v>1.5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t="s">
        <v>3460</v>
      </c>
      <c r="E20" s="16" t="s">
        <v>3453</v>
      </c>
      <c r="F20" s="17"/>
      <c r="G20" s="131">
        <v>43424</v>
      </c>
      <c r="H20" s="133">
        <v>43430</v>
      </c>
      <c r="I20" s="140" t="s">
        <v>0</v>
      </c>
      <c r="J20" s="78"/>
      <c r="K20" s="144"/>
      <c r="L20" s="119"/>
      <c r="M20" s="394">
        <v>43438</v>
      </c>
      <c r="N20" s="158">
        <f t="shared" si="33"/>
        <v>11</v>
      </c>
      <c r="O20" s="27"/>
      <c r="P20" s="27"/>
      <c r="Q20" s="27" t="s">
        <v>0</v>
      </c>
      <c r="R20" s="27"/>
      <c r="S20" s="27"/>
      <c r="T20" s="28"/>
      <c r="U20" s="29"/>
      <c r="V20" s="32">
        <v>1.5</v>
      </c>
      <c r="W20" s="318">
        <v>0.25</v>
      </c>
      <c r="X20" s="319"/>
      <c r="Y20" s="160">
        <f t="shared" si="17"/>
        <v>1.75</v>
      </c>
      <c r="Z20" s="159">
        <f t="shared" si="18"/>
        <v>20</v>
      </c>
      <c r="AA20" s="327"/>
      <c r="AB20" s="400">
        <f t="shared" si="41"/>
        <v>-30</v>
      </c>
      <c r="AC20" s="371"/>
      <c r="AD20" s="226" t="str">
        <f t="shared" si="19"/>
        <v/>
      </c>
      <c r="AE20" s="368">
        <f t="shared" si="34"/>
        <v>-10</v>
      </c>
      <c r="AF20" s="335">
        <v>110</v>
      </c>
      <c r="AG20" s="333">
        <v>110</v>
      </c>
      <c r="AH20" s="336">
        <v>110</v>
      </c>
      <c r="AI20" s="161">
        <f t="shared" si="20"/>
        <v>110</v>
      </c>
      <c r="AJ20" s="162">
        <f t="shared" si="21"/>
        <v>130</v>
      </c>
      <c r="AK20" s="163">
        <f t="shared" si="35"/>
        <v>20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f t="shared" si="44"/>
        <v>110</v>
      </c>
      <c r="AT20" s="613" t="str">
        <f t="shared" si="45"/>
        <v xml:space="preserve"> </v>
      </c>
      <c r="AU20" s="613" t="str">
        <f t="shared" si="46"/>
        <v xml:space="preserve"> </v>
      </c>
      <c r="AV20" s="614" t="str">
        <f t="shared" si="47"/>
        <v xml:space="preserve"> </v>
      </c>
      <c r="AW20" s="196">
        <f t="shared" si="22"/>
        <v>11</v>
      </c>
      <c r="AX20" s="165" t="str">
        <f t="shared" si="23"/>
        <v/>
      </c>
      <c r="AY20" s="193">
        <f t="shared" si="24"/>
        <v>11</v>
      </c>
      <c r="AZ20" s="183" t="str">
        <f t="shared" si="25"/>
        <v/>
      </c>
      <c r="BA20" s="173">
        <f t="shared" si="26"/>
        <v>1.5</v>
      </c>
      <c r="BB20" s="174" t="str">
        <f t="shared" si="27"/>
        <v/>
      </c>
      <c r="BC20" s="186">
        <f t="shared" si="48"/>
        <v>1.5</v>
      </c>
      <c r="BD20" s="174" t="str">
        <f t="shared" si="28"/>
        <v/>
      </c>
      <c r="BE20" s="201">
        <f t="shared" si="29"/>
        <v>0.25</v>
      </c>
      <c r="BF20" s="174" t="str">
        <f t="shared" si="30"/>
        <v/>
      </c>
      <c r="BG20" s="186">
        <f t="shared" si="31"/>
        <v>0.25</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3460</v>
      </c>
      <c r="E21" s="81" t="s">
        <v>3453</v>
      </c>
      <c r="F21" s="34"/>
      <c r="G21" s="131">
        <v>43424</v>
      </c>
      <c r="H21" s="132">
        <v>43437</v>
      </c>
      <c r="I21" s="140" t="s">
        <v>0</v>
      </c>
      <c r="J21" s="78"/>
      <c r="K21" s="144"/>
      <c r="L21" s="119"/>
      <c r="M21" s="394">
        <v>43437</v>
      </c>
      <c r="N21" s="158">
        <f t="shared" si="33"/>
        <v>10</v>
      </c>
      <c r="O21" s="311"/>
      <c r="P21" s="311"/>
      <c r="Q21" s="311" t="s">
        <v>0</v>
      </c>
      <c r="R21" s="311"/>
      <c r="S21" s="311"/>
      <c r="T21" s="312"/>
      <c r="U21" s="314"/>
      <c r="V21" s="167">
        <v>1</v>
      </c>
      <c r="W21" s="313">
        <v>0.25</v>
      </c>
      <c r="X21" s="313"/>
      <c r="Y21" s="160">
        <f t="shared" si="17"/>
        <v>1.25</v>
      </c>
      <c r="Z21" s="159">
        <f t="shared" si="18"/>
        <v>15</v>
      </c>
      <c r="AA21" s="326"/>
      <c r="AB21" s="400">
        <f t="shared" si="41"/>
        <v>-30</v>
      </c>
      <c r="AC21" s="370"/>
      <c r="AD21" s="226" t="str">
        <f t="shared" si="19"/>
        <v/>
      </c>
      <c r="AE21" s="368">
        <f t="shared" si="34"/>
        <v>-15</v>
      </c>
      <c r="AF21" s="331">
        <v>53.25</v>
      </c>
      <c r="AG21" s="333">
        <v>53.25</v>
      </c>
      <c r="AH21" s="334">
        <v>53.25</v>
      </c>
      <c r="AI21" s="161">
        <f t="shared" si="20"/>
        <v>53.25</v>
      </c>
      <c r="AJ21" s="162">
        <f t="shared" si="21"/>
        <v>68.25</v>
      </c>
      <c r="AK21" s="163">
        <f t="shared" si="35"/>
        <v>15</v>
      </c>
      <c r="AL21" s="164">
        <f t="shared" si="36"/>
        <v>0</v>
      </c>
      <c r="AM21" s="164">
        <f t="shared" si="37"/>
        <v>0</v>
      </c>
      <c r="AN21" s="164">
        <f t="shared" si="38"/>
        <v>0</v>
      </c>
      <c r="AO21" s="164">
        <f t="shared" si="39"/>
        <v>0</v>
      </c>
      <c r="AP21" s="610" t="str">
        <f t="shared" si="42"/>
        <v xml:space="preserve"> </v>
      </c>
      <c r="AQ21" s="613" t="str">
        <f t="shared" si="40"/>
        <v xml:space="preserve"> </v>
      </c>
      <c r="AR21" s="613">
        <f t="shared" si="43"/>
        <v>53.25</v>
      </c>
      <c r="AS21" s="613" t="str">
        <f t="shared" si="44"/>
        <v xml:space="preserve"> </v>
      </c>
      <c r="AT21" s="613" t="str">
        <f t="shared" si="45"/>
        <v xml:space="preserve"> </v>
      </c>
      <c r="AU21" s="613" t="str">
        <f t="shared" si="46"/>
        <v xml:space="preserve"> </v>
      </c>
      <c r="AV21" s="614" t="str">
        <f t="shared" si="47"/>
        <v xml:space="preserve"> </v>
      </c>
      <c r="AW21" s="196">
        <f t="shared" si="22"/>
        <v>10</v>
      </c>
      <c r="AX21" s="165" t="str">
        <f t="shared" si="23"/>
        <v/>
      </c>
      <c r="AY21" s="193">
        <f t="shared" si="24"/>
        <v>10</v>
      </c>
      <c r="AZ21" s="183" t="str">
        <f t="shared" si="25"/>
        <v/>
      </c>
      <c r="BA21" s="173">
        <f t="shared" si="26"/>
        <v>1</v>
      </c>
      <c r="BB21" s="174" t="str">
        <f t="shared" si="27"/>
        <v/>
      </c>
      <c r="BC21" s="186">
        <f t="shared" si="48"/>
        <v>1</v>
      </c>
      <c r="BD21" s="174" t="str">
        <f t="shared" si="28"/>
        <v/>
      </c>
      <c r="BE21" s="201">
        <f t="shared" si="29"/>
        <v>0.25</v>
      </c>
      <c r="BF21" s="174" t="str">
        <f t="shared" si="30"/>
        <v/>
      </c>
      <c r="BG21" s="186">
        <f t="shared" si="31"/>
        <v>0.25</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3460</v>
      </c>
      <c r="E22" s="16" t="s">
        <v>3453</v>
      </c>
      <c r="F22" s="17"/>
      <c r="G22" s="134">
        <v>43424</v>
      </c>
      <c r="H22" s="135">
        <v>43437</v>
      </c>
      <c r="I22" s="141" t="s">
        <v>0</v>
      </c>
      <c r="J22" s="25"/>
      <c r="K22" s="145"/>
      <c r="L22" s="28"/>
      <c r="M22" s="395">
        <v>43437</v>
      </c>
      <c r="N22" s="158">
        <f t="shared" si="33"/>
        <v>10</v>
      </c>
      <c r="O22" s="27"/>
      <c r="P22" s="27"/>
      <c r="Q22" s="27" t="s">
        <v>0</v>
      </c>
      <c r="R22" s="27"/>
      <c r="S22" s="27"/>
      <c r="T22" s="28"/>
      <c r="U22" s="29"/>
      <c r="V22" s="32">
        <v>1.5</v>
      </c>
      <c r="W22" s="318">
        <v>0.25</v>
      </c>
      <c r="X22" s="319"/>
      <c r="Y22" s="160">
        <f t="shared" si="17"/>
        <v>1.75</v>
      </c>
      <c r="Z22" s="159">
        <f t="shared" si="18"/>
        <v>20</v>
      </c>
      <c r="AA22" s="327"/>
      <c r="AB22" s="400">
        <f t="shared" si="41"/>
        <v>-30</v>
      </c>
      <c r="AC22" s="371"/>
      <c r="AD22" s="226" t="str">
        <f t="shared" si="19"/>
        <v/>
      </c>
      <c r="AE22" s="368">
        <f t="shared" si="34"/>
        <v>-10</v>
      </c>
      <c r="AF22" s="335">
        <v>120.5</v>
      </c>
      <c r="AG22" s="333">
        <v>120.5</v>
      </c>
      <c r="AH22" s="336">
        <v>120.5</v>
      </c>
      <c r="AI22" s="161">
        <f t="shared" si="20"/>
        <v>120.5</v>
      </c>
      <c r="AJ22" s="162">
        <f t="shared" si="21"/>
        <v>140.5</v>
      </c>
      <c r="AK22" s="163">
        <f t="shared" si="35"/>
        <v>20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f t="shared" si="44"/>
        <v>120.5</v>
      </c>
      <c r="AT22" s="613" t="str">
        <f t="shared" si="45"/>
        <v xml:space="preserve"> </v>
      </c>
      <c r="AU22" s="613" t="str">
        <f t="shared" si="46"/>
        <v xml:space="preserve"> </v>
      </c>
      <c r="AV22" s="614" t="str">
        <f t="shared" si="47"/>
        <v xml:space="preserve"> </v>
      </c>
      <c r="AW22" s="196">
        <f t="shared" si="22"/>
        <v>10</v>
      </c>
      <c r="AX22" s="165" t="str">
        <f t="shared" si="23"/>
        <v/>
      </c>
      <c r="AY22" s="193">
        <f t="shared" si="24"/>
        <v>10</v>
      </c>
      <c r="AZ22" s="183" t="str">
        <f t="shared" si="25"/>
        <v/>
      </c>
      <c r="BA22" s="173">
        <f t="shared" si="26"/>
        <v>1.5</v>
      </c>
      <c r="BB22" s="174" t="str">
        <f t="shared" si="27"/>
        <v/>
      </c>
      <c r="BC22" s="186">
        <f t="shared" si="48"/>
        <v>1.5</v>
      </c>
      <c r="BD22" s="174" t="str">
        <f t="shared" si="28"/>
        <v/>
      </c>
      <c r="BE22" s="201">
        <f t="shared" si="29"/>
        <v>0.25</v>
      </c>
      <c r="BF22" s="174" t="str">
        <f t="shared" si="30"/>
        <v/>
      </c>
      <c r="BG22" s="186">
        <f t="shared" si="31"/>
        <v>0.25</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3461</v>
      </c>
      <c r="E23" s="18" t="s">
        <v>3453</v>
      </c>
      <c r="F23" s="17"/>
      <c r="G23" s="131">
        <v>43430</v>
      </c>
      <c r="H23" s="136">
        <v>43453</v>
      </c>
      <c r="I23" s="140"/>
      <c r="J23" s="78"/>
      <c r="K23" s="144"/>
      <c r="L23" s="119"/>
      <c r="M23" s="394">
        <v>43453</v>
      </c>
      <c r="N23" s="158">
        <f t="shared" si="33"/>
        <v>18</v>
      </c>
      <c r="O23" s="27" t="s">
        <v>0</v>
      </c>
      <c r="P23" s="27"/>
      <c r="Q23" s="27"/>
      <c r="R23" s="27"/>
      <c r="S23" s="27"/>
      <c r="T23" s="28"/>
      <c r="U23" s="29"/>
      <c r="V23" s="32">
        <v>0.5</v>
      </c>
      <c r="W23" s="318"/>
      <c r="X23" s="319"/>
      <c r="Y23" s="160">
        <f t="shared" si="17"/>
        <v>0.5</v>
      </c>
      <c r="Z23" s="159">
        <f t="shared" si="18"/>
        <v>5</v>
      </c>
      <c r="AA23" s="327"/>
      <c r="AB23" s="400">
        <f t="shared" si="41"/>
        <v>-30</v>
      </c>
      <c r="AC23" s="371"/>
      <c r="AD23" s="226" t="str">
        <f t="shared" si="19"/>
        <v/>
      </c>
      <c r="AE23" s="368">
        <f t="shared" si="34"/>
        <v>-25</v>
      </c>
      <c r="AF23" s="335">
        <v>0</v>
      </c>
      <c r="AG23" s="333"/>
      <c r="AH23" s="336">
        <v>0</v>
      </c>
      <c r="AI23" s="161">
        <f t="shared" si="20"/>
        <v>0</v>
      </c>
      <c r="AJ23" s="162">
        <f t="shared" si="21"/>
        <v>5</v>
      </c>
      <c r="AK23" s="163">
        <f t="shared" si="35"/>
        <v>5</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18</v>
      </c>
      <c r="AX23" s="165" t="str">
        <f t="shared" si="23"/>
        <v/>
      </c>
      <c r="AY23" s="193">
        <f t="shared" si="24"/>
        <v>18</v>
      </c>
      <c r="AZ23" s="183" t="str">
        <f t="shared" si="25"/>
        <v/>
      </c>
      <c r="BA23" s="173">
        <f t="shared" si="26"/>
        <v>0.5</v>
      </c>
      <c r="BB23" s="174" t="str">
        <f t="shared" si="27"/>
        <v/>
      </c>
      <c r="BC23" s="186">
        <f t="shared" si="48"/>
        <v>0.5</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3462</v>
      </c>
      <c r="E24" s="16" t="s">
        <v>3453</v>
      </c>
      <c r="F24" s="17"/>
      <c r="G24" s="131">
        <v>43431</v>
      </c>
      <c r="H24" s="133">
        <v>43444</v>
      </c>
      <c r="I24" s="140" t="s">
        <v>0</v>
      </c>
      <c r="J24" s="78"/>
      <c r="K24" s="144"/>
      <c r="L24" s="119"/>
      <c r="M24" s="394">
        <v>43444</v>
      </c>
      <c r="N24" s="158">
        <f t="shared" si="33"/>
        <v>10</v>
      </c>
      <c r="O24" s="27"/>
      <c r="P24" s="27"/>
      <c r="Q24" s="27" t="s">
        <v>0</v>
      </c>
      <c r="R24" s="27"/>
      <c r="S24" s="27"/>
      <c r="T24" s="28"/>
      <c r="U24" s="29"/>
      <c r="V24" s="32">
        <v>1</v>
      </c>
      <c r="W24" s="318">
        <v>0.5</v>
      </c>
      <c r="X24" s="319"/>
      <c r="Y24" s="160">
        <f t="shared" si="17"/>
        <v>1.5</v>
      </c>
      <c r="Z24" s="159">
        <f t="shared" si="18"/>
        <v>20</v>
      </c>
      <c r="AA24" s="327"/>
      <c r="AB24" s="400">
        <f t="shared" si="41"/>
        <v>-30</v>
      </c>
      <c r="AC24" s="371"/>
      <c r="AD24" s="226" t="str">
        <f t="shared" si="19"/>
        <v/>
      </c>
      <c r="AE24" s="368">
        <f t="shared" si="34"/>
        <v>-10</v>
      </c>
      <c r="AF24" s="335">
        <v>93.75</v>
      </c>
      <c r="AG24" s="333">
        <v>93.75</v>
      </c>
      <c r="AH24" s="336">
        <v>93.75</v>
      </c>
      <c r="AI24" s="161">
        <f t="shared" si="20"/>
        <v>93.75</v>
      </c>
      <c r="AJ24" s="162">
        <f t="shared" si="21"/>
        <v>113.75</v>
      </c>
      <c r="AK24" s="163">
        <f t="shared" si="35"/>
        <v>20</v>
      </c>
      <c r="AL24" s="164">
        <f t="shared" si="36"/>
        <v>0</v>
      </c>
      <c r="AM24" s="164">
        <f t="shared" si="37"/>
        <v>0</v>
      </c>
      <c r="AN24" s="164">
        <f t="shared" si="38"/>
        <v>0</v>
      </c>
      <c r="AO24" s="164">
        <f t="shared" si="39"/>
        <v>0</v>
      </c>
      <c r="AP24" s="610" t="str">
        <f t="shared" si="42"/>
        <v xml:space="preserve"> </v>
      </c>
      <c r="AQ24" s="613" t="str">
        <f t="shared" si="40"/>
        <v xml:space="preserve"> </v>
      </c>
      <c r="AR24" s="613">
        <f t="shared" si="43"/>
        <v>93.75</v>
      </c>
      <c r="AS24" s="613" t="str">
        <f t="shared" si="44"/>
        <v xml:space="preserve"> </v>
      </c>
      <c r="AT24" s="613" t="str">
        <f t="shared" si="45"/>
        <v xml:space="preserve"> </v>
      </c>
      <c r="AU24" s="613" t="str">
        <f t="shared" si="46"/>
        <v xml:space="preserve"> </v>
      </c>
      <c r="AV24" s="614" t="str">
        <f t="shared" si="47"/>
        <v xml:space="preserve"> </v>
      </c>
      <c r="AW24" s="196">
        <f t="shared" si="22"/>
        <v>10</v>
      </c>
      <c r="AX24" s="165" t="str">
        <f t="shared" si="23"/>
        <v/>
      </c>
      <c r="AY24" s="193">
        <f t="shared" si="24"/>
        <v>10</v>
      </c>
      <c r="AZ24" s="183" t="str">
        <f t="shared" si="25"/>
        <v/>
      </c>
      <c r="BA24" s="173">
        <f t="shared" si="26"/>
        <v>1</v>
      </c>
      <c r="BB24" s="174" t="str">
        <f t="shared" si="27"/>
        <v/>
      </c>
      <c r="BC24" s="186">
        <f t="shared" si="48"/>
        <v>1</v>
      </c>
      <c r="BD24" s="174" t="str">
        <f t="shared" si="28"/>
        <v/>
      </c>
      <c r="BE24" s="201">
        <f t="shared" si="29"/>
        <v>0.5</v>
      </c>
      <c r="BF24" s="174" t="str">
        <f t="shared" si="30"/>
        <v/>
      </c>
      <c r="BG24" s="186">
        <f t="shared" si="31"/>
        <v>0.5</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3463</v>
      </c>
      <c r="E25" s="16" t="s">
        <v>3453</v>
      </c>
      <c r="F25" s="17"/>
      <c r="G25" s="134">
        <v>43433</v>
      </c>
      <c r="H25" s="135">
        <v>43445</v>
      </c>
      <c r="I25" s="141" t="s">
        <v>0</v>
      </c>
      <c r="J25" s="25"/>
      <c r="K25" s="145"/>
      <c r="L25" s="28"/>
      <c r="M25" s="395">
        <v>43445</v>
      </c>
      <c r="N25" s="158">
        <f t="shared" si="33"/>
        <v>9</v>
      </c>
      <c r="O25" s="27"/>
      <c r="P25" s="27"/>
      <c r="Q25" s="27" t="s">
        <v>0</v>
      </c>
      <c r="R25" s="27"/>
      <c r="S25" s="27"/>
      <c r="T25" s="28"/>
      <c r="U25" s="29"/>
      <c r="V25" s="32">
        <v>1</v>
      </c>
      <c r="W25" s="318">
        <v>1</v>
      </c>
      <c r="X25" s="319"/>
      <c r="Y25" s="160">
        <f t="shared" si="17"/>
        <v>2</v>
      </c>
      <c r="Z25" s="159">
        <f t="shared" si="18"/>
        <v>30</v>
      </c>
      <c r="AA25" s="327"/>
      <c r="AB25" s="400">
        <f t="shared" si="41"/>
        <v>-30</v>
      </c>
      <c r="AC25" s="371"/>
      <c r="AD25" s="226" t="str">
        <f t="shared" si="19"/>
        <v/>
      </c>
      <c r="AE25" s="368">
        <f t="shared" si="34"/>
        <v>0</v>
      </c>
      <c r="AF25" s="335">
        <v>32.5</v>
      </c>
      <c r="AG25" s="333">
        <v>32.5</v>
      </c>
      <c r="AH25" s="336">
        <v>32.5</v>
      </c>
      <c r="AI25" s="161">
        <f t="shared" si="20"/>
        <v>32.5</v>
      </c>
      <c r="AJ25" s="162">
        <f t="shared" si="21"/>
        <v>62.5</v>
      </c>
      <c r="AK25" s="163">
        <f t="shared" si="35"/>
        <v>30</v>
      </c>
      <c r="AL25" s="164">
        <f t="shared" si="36"/>
        <v>0</v>
      </c>
      <c r="AM25" s="164">
        <f t="shared" si="37"/>
        <v>0</v>
      </c>
      <c r="AN25" s="164">
        <f t="shared" si="38"/>
        <v>0</v>
      </c>
      <c r="AO25" s="164">
        <f t="shared" si="39"/>
        <v>0</v>
      </c>
      <c r="AP25" s="610" t="str">
        <f t="shared" si="42"/>
        <v xml:space="preserve"> </v>
      </c>
      <c r="AQ25" s="613">
        <f t="shared" si="40"/>
        <v>32.5</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9</v>
      </c>
      <c r="AX25" s="165" t="str">
        <f t="shared" si="23"/>
        <v/>
      </c>
      <c r="AY25" s="193">
        <f t="shared" si="24"/>
        <v>9</v>
      </c>
      <c r="AZ25" s="183" t="str">
        <f t="shared" si="25"/>
        <v/>
      </c>
      <c r="BA25" s="173">
        <f t="shared" si="26"/>
        <v>1</v>
      </c>
      <c r="BB25" s="174" t="str">
        <f t="shared" si="27"/>
        <v/>
      </c>
      <c r="BC25" s="186">
        <f t="shared" si="48"/>
        <v>1</v>
      </c>
      <c r="BD25" s="174" t="str">
        <f t="shared" si="28"/>
        <v/>
      </c>
      <c r="BE25" s="201">
        <f t="shared" si="29"/>
        <v>1</v>
      </c>
      <c r="BF25" s="174" t="str">
        <f t="shared" si="30"/>
        <v/>
      </c>
      <c r="BG25" s="186">
        <f t="shared" si="31"/>
        <v>1</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t="s">
        <v>3463</v>
      </c>
      <c r="E26" s="16" t="s">
        <v>3453</v>
      </c>
      <c r="F26" s="17"/>
      <c r="G26" s="134">
        <v>43446</v>
      </c>
      <c r="H26" s="135"/>
      <c r="I26" s="141"/>
      <c r="J26" s="25"/>
      <c r="K26" s="145"/>
      <c r="L26" s="28"/>
      <c r="M26" s="395"/>
      <c r="N26" s="158"/>
      <c r="O26" s="27"/>
      <c r="P26" s="27"/>
      <c r="Q26" s="27"/>
      <c r="R26" s="27"/>
      <c r="S26" s="27" t="s">
        <v>0</v>
      </c>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t="s">
        <v>3464</v>
      </c>
      <c r="E27" s="18" t="s">
        <v>3453</v>
      </c>
      <c r="F27" s="17"/>
      <c r="G27" s="131">
        <v>43447</v>
      </c>
      <c r="H27" s="136">
        <v>43462</v>
      </c>
      <c r="I27" s="140" t="s">
        <v>0</v>
      </c>
      <c r="J27" s="78"/>
      <c r="K27" s="144"/>
      <c r="L27" s="119"/>
      <c r="M27" s="394">
        <v>43462</v>
      </c>
      <c r="N27" s="158">
        <f t="shared" si="33"/>
        <v>12</v>
      </c>
      <c r="O27" s="27" t="s">
        <v>0</v>
      </c>
      <c r="P27" s="27"/>
      <c r="Q27" s="27"/>
      <c r="R27" s="27"/>
      <c r="S27" s="27"/>
      <c r="T27" s="28"/>
      <c r="U27" s="29"/>
      <c r="V27" s="32">
        <v>0.5</v>
      </c>
      <c r="W27" s="318"/>
      <c r="X27" s="319"/>
      <c r="Y27" s="160">
        <f t="shared" si="17"/>
        <v>0.5</v>
      </c>
      <c r="Z27" s="159">
        <f t="shared" si="18"/>
        <v>5</v>
      </c>
      <c r="AA27" s="327"/>
      <c r="AB27" s="400">
        <f t="shared" si="41"/>
        <v>-30</v>
      </c>
      <c r="AC27" s="371"/>
      <c r="AD27" s="226" t="str">
        <f t="shared" si="19"/>
        <v/>
      </c>
      <c r="AE27" s="368">
        <f t="shared" si="34"/>
        <v>-25</v>
      </c>
      <c r="AF27" s="337">
        <v>12</v>
      </c>
      <c r="AG27" s="338">
        <v>12</v>
      </c>
      <c r="AH27" s="336">
        <v>12</v>
      </c>
      <c r="AI27" s="161">
        <f t="shared" si="20"/>
        <v>12</v>
      </c>
      <c r="AJ27" s="162">
        <f t="shared" si="21"/>
        <v>17</v>
      </c>
      <c r="AK27" s="163">
        <f t="shared" si="35"/>
        <v>5</v>
      </c>
      <c r="AL27" s="164">
        <f t="shared" si="36"/>
        <v>0</v>
      </c>
      <c r="AM27" s="164">
        <f t="shared" si="37"/>
        <v>0</v>
      </c>
      <c r="AN27" s="164">
        <f t="shared" si="38"/>
        <v>0</v>
      </c>
      <c r="AO27" s="164">
        <f t="shared" si="39"/>
        <v>0</v>
      </c>
      <c r="AP27" s="610" t="str">
        <f t="shared" si="42"/>
        <v xml:space="preserve"> </v>
      </c>
      <c r="AQ27" s="613">
        <f t="shared" si="40"/>
        <v>12</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12</v>
      </c>
      <c r="AX27" s="165" t="str">
        <f t="shared" si="23"/>
        <v/>
      </c>
      <c r="AY27" s="193">
        <f t="shared" si="24"/>
        <v>12</v>
      </c>
      <c r="AZ27" s="183" t="str">
        <f t="shared" si="25"/>
        <v/>
      </c>
      <c r="BA27" s="173">
        <f t="shared" si="26"/>
        <v>0.5</v>
      </c>
      <c r="BB27" s="174" t="str">
        <f t="shared" si="27"/>
        <v/>
      </c>
      <c r="BC27" s="186">
        <f t="shared" si="48"/>
        <v>0.5</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t="s">
        <v>3465</v>
      </c>
      <c r="E28" s="16" t="s">
        <v>3453</v>
      </c>
      <c r="F28" s="17"/>
      <c r="G28" s="131">
        <v>43448</v>
      </c>
      <c r="H28" s="133">
        <v>43460</v>
      </c>
      <c r="I28" s="140" t="s">
        <v>0</v>
      </c>
      <c r="J28" s="78"/>
      <c r="K28" s="144"/>
      <c r="L28" s="119"/>
      <c r="M28" s="394">
        <v>43460</v>
      </c>
      <c r="N28" s="158">
        <f t="shared" si="33"/>
        <v>9</v>
      </c>
      <c r="O28" s="27"/>
      <c r="P28" s="27"/>
      <c r="Q28" s="27"/>
      <c r="R28" s="27"/>
      <c r="S28" s="27"/>
      <c r="T28" s="28" t="s">
        <v>0</v>
      </c>
      <c r="U28" s="29"/>
      <c r="V28" s="32"/>
      <c r="W28" s="318"/>
      <c r="X28" s="319"/>
      <c r="Y28" s="160"/>
      <c r="Z28" s="159"/>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9</v>
      </c>
      <c r="AX28" s="165" t="str">
        <f t="shared" si="23"/>
        <v/>
      </c>
      <c r="AY28" s="193">
        <f t="shared" si="24"/>
        <v>9</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t="s">
        <v>3462</v>
      </c>
      <c r="E29" s="16" t="s">
        <v>3453</v>
      </c>
      <c r="F29" s="17"/>
      <c r="G29" s="134">
        <v>43455</v>
      </c>
      <c r="H29" s="135">
        <v>43476</v>
      </c>
      <c r="I29" s="141" t="s">
        <v>0</v>
      </c>
      <c r="J29" s="25"/>
      <c r="K29" s="145"/>
      <c r="L29" s="28"/>
      <c r="M29" s="395">
        <v>43476</v>
      </c>
      <c r="N29" s="158">
        <f t="shared" si="33"/>
        <v>16</v>
      </c>
      <c r="O29" s="27"/>
      <c r="P29" s="27"/>
      <c r="Q29" s="27" t="s">
        <v>0</v>
      </c>
      <c r="R29" s="27"/>
      <c r="S29" s="27"/>
      <c r="T29" s="28"/>
      <c r="U29" s="29"/>
      <c r="V29" s="32">
        <v>0.25</v>
      </c>
      <c r="W29" s="318">
        <v>1</v>
      </c>
      <c r="X29" s="319"/>
      <c r="Y29" s="160">
        <f t="shared" si="17"/>
        <v>1.25</v>
      </c>
      <c r="Z29" s="159">
        <f t="shared" si="18"/>
        <v>22.5</v>
      </c>
      <c r="AA29" s="327"/>
      <c r="AB29" s="400">
        <f t="shared" si="41"/>
        <v>-30</v>
      </c>
      <c r="AC29" s="371"/>
      <c r="AD29" s="226" t="str">
        <f t="shared" si="19"/>
        <v/>
      </c>
      <c r="AE29" s="368">
        <f t="shared" si="34"/>
        <v>-7.5</v>
      </c>
      <c r="AF29" s="337">
        <v>85.25</v>
      </c>
      <c r="AG29" s="338">
        <v>85.25</v>
      </c>
      <c r="AH29" s="336">
        <v>85.25</v>
      </c>
      <c r="AI29" s="161">
        <f t="shared" si="20"/>
        <v>85.25</v>
      </c>
      <c r="AJ29" s="162">
        <f t="shared" si="21"/>
        <v>107.75</v>
      </c>
      <c r="AK29" s="163">
        <f t="shared" si="35"/>
        <v>22.5</v>
      </c>
      <c r="AL29" s="164">
        <f t="shared" si="36"/>
        <v>0</v>
      </c>
      <c r="AM29" s="164">
        <f t="shared" si="37"/>
        <v>0</v>
      </c>
      <c r="AN29" s="164">
        <f t="shared" si="38"/>
        <v>0</v>
      </c>
      <c r="AO29" s="164">
        <f t="shared" si="39"/>
        <v>0</v>
      </c>
      <c r="AP29" s="610" t="str">
        <f t="shared" si="42"/>
        <v xml:space="preserve"> </v>
      </c>
      <c r="AQ29" s="613" t="str">
        <f t="shared" si="40"/>
        <v xml:space="preserve"> </v>
      </c>
      <c r="AR29" s="613">
        <f t="shared" si="43"/>
        <v>85.25</v>
      </c>
      <c r="AS29" s="613" t="str">
        <f t="shared" si="44"/>
        <v xml:space="preserve"> </v>
      </c>
      <c r="AT29" s="613" t="str">
        <f t="shared" si="45"/>
        <v xml:space="preserve"> </v>
      </c>
      <c r="AU29" s="613" t="str">
        <f t="shared" si="46"/>
        <v xml:space="preserve"> </v>
      </c>
      <c r="AV29" s="614" t="str">
        <f t="shared" si="47"/>
        <v xml:space="preserve"> </v>
      </c>
      <c r="AW29" s="196">
        <f t="shared" si="22"/>
        <v>16</v>
      </c>
      <c r="AX29" s="165" t="str">
        <f t="shared" si="23"/>
        <v/>
      </c>
      <c r="AY29" s="193">
        <f t="shared" si="24"/>
        <v>16</v>
      </c>
      <c r="AZ29" s="183" t="str">
        <f t="shared" si="25"/>
        <v/>
      </c>
      <c r="BA29" s="173">
        <f t="shared" si="26"/>
        <v>0.25</v>
      </c>
      <c r="BB29" s="174" t="str">
        <f t="shared" si="27"/>
        <v/>
      </c>
      <c r="BC29" s="186">
        <f t="shared" si="48"/>
        <v>0.25</v>
      </c>
      <c r="BD29" s="174" t="str">
        <f t="shared" si="28"/>
        <v/>
      </c>
      <c r="BE29" s="201">
        <f t="shared" si="29"/>
        <v>1</v>
      </c>
      <c r="BF29" s="174" t="str">
        <f t="shared" si="30"/>
        <v/>
      </c>
      <c r="BG29" s="186">
        <f t="shared" si="31"/>
        <v>1</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t="s">
        <v>3466</v>
      </c>
      <c r="E30" s="16" t="s">
        <v>3453</v>
      </c>
      <c r="F30" s="17"/>
      <c r="G30" s="134">
        <v>43458</v>
      </c>
      <c r="H30" s="135"/>
      <c r="I30" s="141" t="s">
        <v>0</v>
      </c>
      <c r="J30" s="25"/>
      <c r="K30" s="145" t="s">
        <v>0</v>
      </c>
      <c r="L30" s="28" t="s">
        <v>0</v>
      </c>
      <c r="M30" s="395"/>
      <c r="N30" s="158" t="str">
        <f t="shared" si="33"/>
        <v/>
      </c>
      <c r="O30" s="27"/>
      <c r="P30" s="27"/>
      <c r="Q30" s="27" t="s">
        <v>0</v>
      </c>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t="s">
        <v>3459</v>
      </c>
      <c r="E31" s="18" t="s">
        <v>3453</v>
      </c>
      <c r="F31" s="17"/>
      <c r="G31" s="131">
        <v>43465</v>
      </c>
      <c r="H31" s="133">
        <v>43483</v>
      </c>
      <c r="I31" s="140" t="s">
        <v>0</v>
      </c>
      <c r="J31" s="78"/>
      <c r="K31" s="144"/>
      <c r="L31" s="119"/>
      <c r="M31" s="394"/>
      <c r="N31" s="158" t="str">
        <f t="shared" si="33"/>
        <v/>
      </c>
      <c r="O31" s="27"/>
      <c r="P31" s="27"/>
      <c r="Q31" s="27" t="s">
        <v>0</v>
      </c>
      <c r="R31" s="27"/>
      <c r="S31" s="27"/>
      <c r="T31" s="28"/>
      <c r="U31" s="29"/>
      <c r="V31" s="32">
        <v>1</v>
      </c>
      <c r="W31" s="318">
        <v>0.5</v>
      </c>
      <c r="X31" s="319"/>
      <c r="Y31" s="160">
        <f t="shared" si="17"/>
        <v>1.5</v>
      </c>
      <c r="Z31" s="159">
        <f t="shared" si="18"/>
        <v>20</v>
      </c>
      <c r="AA31" s="327"/>
      <c r="AB31" s="400">
        <f t="shared" si="41"/>
        <v>-30</v>
      </c>
      <c r="AC31" s="371"/>
      <c r="AD31" s="226" t="str">
        <f t="shared" si="19"/>
        <v/>
      </c>
      <c r="AE31" s="368">
        <f t="shared" si="34"/>
        <v>-10</v>
      </c>
      <c r="AF31" s="339"/>
      <c r="AG31" s="338"/>
      <c r="AH31" s="336"/>
      <c r="AI31" s="161">
        <f t="shared" si="20"/>
        <v>0</v>
      </c>
      <c r="AJ31" s="162">
        <f t="shared" si="21"/>
        <v>20</v>
      </c>
      <c r="AK31" s="163">
        <f t="shared" si="35"/>
        <v>20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f t="shared" si="26"/>
        <v>1</v>
      </c>
      <c r="BB31" s="174" t="str">
        <f t="shared" si="27"/>
        <v/>
      </c>
      <c r="BC31" s="186">
        <f t="shared" si="48"/>
        <v>1</v>
      </c>
      <c r="BD31" s="174" t="str">
        <f t="shared" si="28"/>
        <v/>
      </c>
      <c r="BE31" s="201">
        <f t="shared" si="29"/>
        <v>0.5</v>
      </c>
      <c r="BF31" s="174" t="str">
        <f t="shared" si="30"/>
        <v/>
      </c>
      <c r="BG31" s="186">
        <f t="shared" si="31"/>
        <v>0.5</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t="s">
        <v>3466</v>
      </c>
      <c r="E32" s="16" t="s">
        <v>3453</v>
      </c>
      <c r="F32" s="17"/>
      <c r="G32" s="134">
        <v>43368</v>
      </c>
      <c r="H32" s="135">
        <v>43397</v>
      </c>
      <c r="I32" s="141" t="s">
        <v>0</v>
      </c>
      <c r="J32" s="25" t="s">
        <v>0</v>
      </c>
      <c r="K32" s="145" t="s">
        <v>0</v>
      </c>
      <c r="L32" s="28"/>
      <c r="M32" s="395">
        <v>43397</v>
      </c>
      <c r="N32" s="158">
        <f t="shared" si="33"/>
        <v>22</v>
      </c>
      <c r="O32" s="27"/>
      <c r="P32" s="27"/>
      <c r="Q32" s="27" t="s">
        <v>0</v>
      </c>
      <c r="R32" s="27"/>
      <c r="S32" s="27"/>
      <c r="T32" s="28"/>
      <c r="U32" s="29"/>
      <c r="V32" s="32">
        <v>12</v>
      </c>
      <c r="W32" s="318">
        <v>0.25</v>
      </c>
      <c r="X32" s="319"/>
      <c r="Y32" s="160">
        <f t="shared" si="17"/>
        <v>12.25</v>
      </c>
      <c r="Z32" s="159">
        <f t="shared" si="18"/>
        <v>125</v>
      </c>
      <c r="AA32" s="327"/>
      <c r="AB32" s="400">
        <f t="shared" si="41"/>
        <v>-30</v>
      </c>
      <c r="AC32" s="371"/>
      <c r="AD32" s="226" t="str">
        <f t="shared" si="19"/>
        <v/>
      </c>
      <c r="AE32" s="368">
        <f t="shared" si="34"/>
        <v>95</v>
      </c>
      <c r="AF32" s="339">
        <v>1186.75</v>
      </c>
      <c r="AG32" s="338">
        <v>1186.75</v>
      </c>
      <c r="AH32" s="336">
        <v>1186.75</v>
      </c>
      <c r="AI32" s="161">
        <f t="shared" si="20"/>
        <v>1281.75</v>
      </c>
      <c r="AJ32" s="162">
        <f t="shared" si="21"/>
        <v>1311.75</v>
      </c>
      <c r="AK32" s="163">
        <f t="shared" si="35"/>
        <v>125</v>
      </c>
      <c r="AL32" s="164">
        <f t="shared" si="36"/>
        <v>1186.75</v>
      </c>
      <c r="AM32" s="164">
        <f t="shared" si="37"/>
        <v>1281.75</v>
      </c>
      <c r="AN32" s="164">
        <f t="shared" si="38"/>
        <v>1311.75</v>
      </c>
      <c r="AO32" s="164">
        <f t="shared" si="39"/>
        <v>125</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f t="shared" si="46"/>
        <v>1186.75</v>
      </c>
      <c r="AV32" s="614" t="str">
        <f t="shared" si="47"/>
        <v xml:space="preserve"> </v>
      </c>
      <c r="AW32" s="196">
        <f t="shared" si="22"/>
        <v>22</v>
      </c>
      <c r="AX32" s="165">
        <f t="shared" si="23"/>
        <v>22</v>
      </c>
      <c r="AY32" s="193" t="str">
        <f t="shared" si="24"/>
        <v/>
      </c>
      <c r="AZ32" s="183" t="str">
        <f t="shared" si="25"/>
        <v/>
      </c>
      <c r="BA32" s="173">
        <f t="shared" si="26"/>
        <v>12</v>
      </c>
      <c r="BB32" s="174">
        <f t="shared" si="27"/>
        <v>12</v>
      </c>
      <c r="BC32" s="186" t="str">
        <f t="shared" si="48"/>
        <v/>
      </c>
      <c r="BD32" s="174" t="str">
        <f t="shared" si="28"/>
        <v/>
      </c>
      <c r="BE32" s="201">
        <f t="shared" si="29"/>
        <v>0.25</v>
      </c>
      <c r="BF32" s="174">
        <f t="shared" si="30"/>
        <v>0.25</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t="s">
        <v>3467</v>
      </c>
      <c r="E33" s="16" t="s">
        <v>3453</v>
      </c>
      <c r="F33" s="17"/>
      <c r="G33" s="134">
        <v>43381</v>
      </c>
      <c r="H33" s="135"/>
      <c r="I33" s="141"/>
      <c r="J33" s="25"/>
      <c r="K33" s="145"/>
      <c r="L33" s="28"/>
      <c r="M33" s="395"/>
      <c r="N33" s="158" t="str">
        <f t="shared" si="33"/>
        <v/>
      </c>
      <c r="O33" s="27"/>
      <c r="P33" s="27"/>
      <c r="Q33" s="27"/>
      <c r="R33" s="27"/>
      <c r="S33" s="27" t="s">
        <v>0</v>
      </c>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3451</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Lum, Curtis B Y</cp:lastModifiedBy>
  <cp:lastPrinted>2016-05-31T18:15:39Z</cp:lastPrinted>
  <dcterms:created xsi:type="dcterms:W3CDTF">2013-04-08T20:12:31Z</dcterms:created>
  <dcterms:modified xsi:type="dcterms:W3CDTF">2019-12-03T00:02:33Z</dcterms:modified>
</cp:coreProperties>
</file>